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lcininkust-my.sharepoint.com/personal/elena_pumputiene_salcininkust_lt/Documents/RAS/2025/"/>
    </mc:Choice>
  </mc:AlternateContent>
  <xr:revisionPtr revIDLastSave="0" documentId="8_{B751A17D-30D4-4C63-A239-BF3BB7F3D2FD}" xr6:coauthVersionLast="47" xr6:coauthVersionMax="47" xr10:uidLastSave="{00000000-0000-0000-0000-000000000000}"/>
  <bookViews>
    <workbookView xWindow="-108" yWindow="-108" windowWidth="30936" windowHeight="16776" xr2:uid="{1805DAA1-907F-4AE9-AC7E-41713C110DCA}"/>
  </bookViews>
  <sheets>
    <sheet name="Sheet1" sheetId="1" r:id="rId1"/>
  </sheets>
  <externalReferences>
    <externalReference r:id="rId2"/>
  </externalReferences>
  <definedNames>
    <definedName name="SIS055_D_Kitosadministr1">'[1]Forma 2'!$C$151</definedName>
    <definedName name="SIS055_D_Kitosadministr2">'[1]Forma 2'!$C$152</definedName>
    <definedName name="SIS055_D_Kitosadministr3">'[1]Forma 2'!$C$153</definedName>
    <definedName name="SIS055_D_Kitoseinamojor1">'[1]Forma 2'!$C$109</definedName>
    <definedName name="SIS055_D_Kitoseinamojor2">'[1]Forma 2'!$C$110</definedName>
    <definedName name="SIS055_D_Kitoseinamojor3">'[1]Forma 2'!$C$111</definedName>
    <definedName name="SIS055_D_Kitoseinamojor4">'[1]Forma 2'!$C$112</definedName>
    <definedName name="SIS055_D_Kitoseinamojor5">'[1]Forma 2'!$C$113</definedName>
    <definedName name="SIS055_D_Kitosfinansine1">'[1]Forma 2'!$C$139</definedName>
    <definedName name="SIS055_D_Kitosfinansine2">'[1]Forma 2'!$C$140</definedName>
    <definedName name="SIS055_D_Kitoskintamosi2">'[1]Forma 2'!$C$57</definedName>
    <definedName name="SIS055_D_Kitoskintamosi3">'[1]Forma 2'!$C$58</definedName>
    <definedName name="SIS055_D_Kitoskurorusie1">'[1]Forma 2'!$C$36</definedName>
    <definedName name="SIS055_D_Kitoskurorusie2">'[1]Forma 2'!$C$37</definedName>
    <definedName name="SIS055_D_Kitoskurorusie3">'[1]Forma 2'!$C$38</definedName>
    <definedName name="SIS055_D_Kitospastovios2">'[1]Forma 2'!$C$183</definedName>
    <definedName name="SIS055_D_Kitospastovios3">'[1]Forma 2'!$C$184</definedName>
    <definedName name="SIS055_D_Kitosrinkodaro1">'[1]Forma 2'!$C$163</definedName>
    <definedName name="SIS055_D_Kitosrinkodaro2">'[1]Forma 2'!$C$164</definedName>
    <definedName name="SIS055_D_Kitossanaudoss1">'[1]Forma 2'!$C$19</definedName>
    <definedName name="SIS055_D_Kitossanaudoss2">'[1]Forma 2'!$C$39</definedName>
    <definedName name="SIS055_D_Kitossanaudoss3">'[1]Forma 2'!$C$42</definedName>
    <definedName name="SIS055_D_Kitossanaudoss4">'[1]Forma 2'!$C$46</definedName>
    <definedName name="SIS055_D_Kitossanaudoss5">'[1]Forma 2'!$C$49</definedName>
    <definedName name="SIS055_D_Kitossanaudoss6">'[1]Forma 2'!$C$50</definedName>
    <definedName name="SIS055_D_Kitossanaudoss7">'[1]Forma 2'!$C$167</definedName>
    <definedName name="SIS055_D_Kitossupersona1">'[1]Forma 2'!$C$123</definedName>
    <definedName name="SIS055_D_Kitossupersona2">'[1]Forma 2'!$C$124</definedName>
    <definedName name="SIS055_D_Kitossupersona3">'[1]Forma 2'!$C$125</definedName>
    <definedName name="SIS055_D_Kitossupersona4">'[1]Forma 2'!$C$126</definedName>
    <definedName name="SIS055_D_Kitumokesciuva1">'[1]Forma 2'!$C$134</definedName>
    <definedName name="SIS062_D_Cstsistema1">'[1]Forma 9'!$AC$9</definedName>
    <definedName name="SIS062_D_Cstsistema2">'[1]Forma 9'!$AV$9</definedName>
    <definedName name="SIS062_D_Cstsistema3">'[1]Forma 9'!$BO$9</definedName>
    <definedName name="SIS062_D_Cstsistema4">'[1]Forma 9'!$CH$9</definedName>
    <definedName name="SIS062_D_Cstsistema5">'[1]Forma 9'!$DA$9</definedName>
    <definedName name="SIS062_D_Cstsistema6">'[1]Forma 9'!$DT$9</definedName>
    <definedName name="SIS062_D_Cstsistema7">'[1]Forma 9'!$EM$9</definedName>
    <definedName name="SIS062_D_Paslaugaproduk1">'[1]Forma 9'!$I$13</definedName>
    <definedName name="SIS062_D_Paslaugaproduk10">'[1]Forma 9'!$AG$13</definedName>
    <definedName name="SIS062_D_Paslaugaproduk11">'[1]Forma 9'!$AJ$13</definedName>
    <definedName name="SIS062_D_Paslaugaproduk12">'[1]Forma 9'!$AK$13</definedName>
    <definedName name="SIS062_D_Paslaugaproduk13">'[1]Forma 9'!$AO$13</definedName>
    <definedName name="SIS062_D_Paslaugaproduk14">'[1]Forma 9'!$AP$13</definedName>
    <definedName name="SIS062_D_Paslaugaproduk15">'[1]Forma 9'!$AS$13</definedName>
    <definedName name="SIS062_D_Paslaugaproduk16">'[1]Forma 9'!$AT$13</definedName>
    <definedName name="SIS062_D_Paslaugaproduk17">'[1]Forma 9'!$AZ$13</definedName>
    <definedName name="SIS062_D_Paslaugaproduk18">'[1]Forma 9'!$BC$13</definedName>
    <definedName name="SIS062_D_Paslaugaproduk19">'[1]Forma 9'!$BD$13</definedName>
    <definedName name="SIS062_D_Paslaugaproduk2">'[1]Forma 9'!$L$13</definedName>
    <definedName name="SIS062_D_Paslaugaproduk20">'[1]Forma 9'!$BH$13</definedName>
    <definedName name="SIS062_D_Paslaugaproduk21">'[1]Forma 9'!$BI$13</definedName>
    <definedName name="SIS062_D_Paslaugaproduk22">'[1]Forma 9'!$BL$13</definedName>
    <definedName name="SIS062_D_Paslaugaproduk23">'[1]Forma 9'!$BM$13</definedName>
    <definedName name="SIS062_D_Paslaugaproduk24">'[1]Forma 9'!$BS$13</definedName>
    <definedName name="SIS062_D_Paslaugaproduk25">'[1]Forma 9'!$BV$13</definedName>
    <definedName name="SIS062_D_Paslaugaproduk26">'[1]Forma 9'!$BW$13</definedName>
    <definedName name="SIS062_D_Paslaugaproduk27">'[1]Forma 9'!$CA$13</definedName>
    <definedName name="SIS062_D_Paslaugaproduk28">'[1]Forma 9'!$CB$13</definedName>
    <definedName name="SIS062_D_Paslaugaproduk29">'[1]Forma 9'!$CE$13</definedName>
    <definedName name="SIS062_D_Paslaugaproduk3">'[1]Forma 9'!$M$13</definedName>
    <definedName name="SIS062_D_Paslaugaproduk30">'[1]Forma 9'!$CF$13</definedName>
    <definedName name="SIS062_D_Paslaugaproduk31">'[1]Forma 9'!$CL$13</definedName>
    <definedName name="SIS062_D_Paslaugaproduk32">'[1]Forma 9'!$CO$13</definedName>
    <definedName name="SIS062_D_Paslaugaproduk33">'[1]Forma 9'!$CP$13</definedName>
    <definedName name="SIS062_D_Paslaugaproduk34">'[1]Forma 9'!$CT$13</definedName>
    <definedName name="SIS062_D_Paslaugaproduk35">'[1]Forma 9'!$CU$13</definedName>
    <definedName name="SIS062_D_Paslaugaproduk36">'[1]Forma 9'!$CX$13</definedName>
    <definedName name="SIS062_D_Paslaugaproduk37">'[1]Forma 9'!$CY$13</definedName>
    <definedName name="SIS062_D_Paslaugaproduk38">'[1]Forma 9'!$DE$13</definedName>
    <definedName name="SIS062_D_Paslaugaproduk39">'[1]Forma 9'!$DH$13</definedName>
    <definedName name="SIS062_D_Paslaugaproduk4">'[1]Forma 9'!$Q$13</definedName>
    <definedName name="SIS062_D_Paslaugaproduk40">'[1]Forma 9'!$DI$13</definedName>
    <definedName name="SIS062_D_Paslaugaproduk41">'[1]Forma 9'!$DM$13</definedName>
    <definedName name="SIS062_D_Paslaugaproduk42">'[1]Forma 9'!$DN$13</definedName>
    <definedName name="SIS062_D_Paslaugaproduk43">'[1]Forma 9'!$DQ$13</definedName>
    <definedName name="SIS062_D_Paslaugaproduk44">'[1]Forma 9'!$DR$13</definedName>
    <definedName name="SIS062_D_Paslaugaproduk45">'[1]Forma 9'!$DX$13</definedName>
    <definedName name="SIS062_D_Paslaugaproduk46">'[1]Forma 9'!$EA$13</definedName>
    <definedName name="SIS062_D_Paslaugaproduk47">'[1]Forma 9'!$EB$13</definedName>
    <definedName name="SIS062_D_Paslaugaproduk48">'[1]Forma 9'!$EF$13</definedName>
    <definedName name="SIS062_D_Paslaugaproduk49">'[1]Forma 9'!$EG$13</definedName>
    <definedName name="SIS062_D_Paslaugaproduk5">'[1]Forma 9'!$R$13</definedName>
    <definedName name="SIS062_D_Paslaugaproduk50">'[1]Forma 9'!$EJ$13</definedName>
    <definedName name="SIS062_D_Paslaugaproduk51">'[1]Forma 9'!$EK$13</definedName>
    <definedName name="SIS062_D_Paslaugaproduk52">'[1]Forma 9'!$EQ$13</definedName>
    <definedName name="SIS062_D_Paslaugaproduk53">'[1]Forma 9'!$ET$13</definedName>
    <definedName name="SIS062_D_Paslaugaproduk54">'[1]Forma 9'!$EU$13</definedName>
    <definedName name="SIS062_D_Paslaugaproduk55">'[1]Forma 9'!$EY$13</definedName>
    <definedName name="SIS062_D_Paslaugaproduk56">'[1]Forma 9'!$EZ$13</definedName>
    <definedName name="SIS062_D_Paslaugaproduk57">'[1]Forma 9'!$FC$13</definedName>
    <definedName name="SIS062_D_Paslaugaproduk58">'[1]Forma 9'!$FD$13</definedName>
    <definedName name="SIS062_D_Paslaugaproduk6">'[1]Forma 9'!$U$13</definedName>
    <definedName name="SIS062_D_Paslaugaproduk7">'[1]Forma 9'!$V$13</definedName>
    <definedName name="SIS062_D_Paslaugaproduk8">'[1]Forma 9'!$Y$13</definedName>
    <definedName name="SIS062_D_Paslaugaproduk9">'[1]Forma 9'!$AB$13</definedName>
    <definedName name="SIS062_F_Administracijo1Geriamojovande1">'[1]Forma 9'!$X$127</definedName>
    <definedName name="SIS062_F_Administracijo1Konkurencinesi1">'[1]Forma 9'!$AA$127</definedName>
    <definedName name="SIS062_F_Administracijo1Paslaugaproduk8">'[1]Forma 9'!$Y$127</definedName>
    <definedName name="SIS062_F_Administracijo1Paslaugaproduk9">'[1]Forma 9'!$AB$127</definedName>
    <definedName name="SIS062_F_Administracine1Geriamojovande1">'[1]Forma 9'!$X$77</definedName>
    <definedName name="SIS062_F_Administracine1Konkurencinesi1">'[1]Forma 9'!$AA$77</definedName>
    <definedName name="SIS062_F_Administracine1Paslaugaproduk8">'[1]Forma 9'!$Y$77</definedName>
    <definedName name="SIS062_F_Administracine1Paslaugaproduk9">'[1]Forma 9'!$AB$77</definedName>
    <definedName name="SIS062_F_Akmensangliesi1Geriamojovande1">'[1]Forma 9'!$X$37</definedName>
    <definedName name="SIS062_F_Akmensangliesi1Konkurencinesi1">'[1]Forma 9'!$AA$37</definedName>
    <definedName name="SIS062_F_Akmensangliesi1Paslaugaproduk8">'[1]Forma 9'!$Y$37</definedName>
    <definedName name="SIS062_F_Akmensangliesi1Paslaugaproduk9">'[1]Forma 9'!$AB$37</definedName>
    <definedName name="SIS062_F_Apyvartiniutar2Geriamojovande1">'[1]Forma 9'!$X$53</definedName>
    <definedName name="SIS062_F_Apyvartiniutar2Konkurencinesi1">'[1]Forma 9'!$AA$53</definedName>
    <definedName name="SIS062_F_Apyvartiniutar2Paslaugaproduk8">'[1]Forma 9'!$Y$53</definedName>
    <definedName name="SIS062_F_Apyvartiniutar2Paslaugaproduk9">'[1]Forma 9'!$AB$53</definedName>
    <definedName name="SIS062_F_Aplinkostarsos1Geriamojovande1">'[1]Forma 9'!$X$135</definedName>
    <definedName name="SIS062_F_Aplinkostarsos1Konkurencinesi1">'[1]Forma 9'!$AA$135</definedName>
    <definedName name="SIS062_F_Aplinkostarsos1Paslaugaproduk8">'[1]Forma 9'!$Y$135</definedName>
    <definedName name="SIS062_F_Aplinkostarsos1Paslaugaproduk9">'[1]Forma 9'!$AB$135</definedName>
    <definedName name="SIS062_F_Apsauginiaiird1Geriamojovande1">'[1]Forma 9'!$X$125</definedName>
    <definedName name="SIS062_F_Apsauginiaiird1Konkurencinesi1">'[1]Forma 9'!$AA$125</definedName>
    <definedName name="SIS062_F_Apsauginiaiird1Paslaugaproduk8">'[1]Forma 9'!$Y$125</definedName>
    <definedName name="SIS062_F_Apsauginiaiird1Paslaugaproduk9">'[1]Forma 9'!$AB$125</definedName>
    <definedName name="SIS062_F_Atliekinessilu1Geriamojovande1">'[1]Forma 9'!$X$20</definedName>
    <definedName name="SIS062_F_Atliekinessilu1Konkurencinesi1">'[1]Forma 9'!$AA$20</definedName>
    <definedName name="SIS062_F_Atliekinessilu1Paslaugaproduk8">'[1]Forma 9'!$Y$20</definedName>
    <definedName name="SIS062_F_Atliekinessilu1Paslaugaproduk9">'[1]Forma 9'!$AB$20</definedName>
    <definedName name="SIS062_F_Atsiskaitomuju1Geriamojovande1">'[1]Forma 9'!$X$103</definedName>
    <definedName name="SIS062_F_Atsiskaitomuju1Konkurencinesi1">'[1]Forma 9'!$AA$103</definedName>
    <definedName name="SIS062_F_Atsiskaitomuju1Paslaugaproduk8">'[1]Forma 9'!$Y$103</definedName>
    <definedName name="SIS062_F_Atsiskaitomuju1Paslaugaproduk9">'[1]Forma 9'!$AB$103</definedName>
    <definedName name="SIS062_F_Auditofinansin1Geriamojovande1">'[1]Forma 9'!$X$176</definedName>
    <definedName name="SIS062_F_Auditofinansin1Konkurencinesi1">'[1]Forma 9'!$AA$176</definedName>
    <definedName name="SIS062_F_Auditofinansin1Paslaugaproduk8">'[1]Forma 9'!$Y$176</definedName>
    <definedName name="SIS062_F_Auditofinansin1Paslaugaproduk9">'[1]Forma 9'!$AB$176</definedName>
    <definedName name="SIS062_F_Auditokitosana1Geriamojovande1">'[1]Forma 9'!$X$178</definedName>
    <definedName name="SIS062_F_Auditokitosana1Konkurencinesi1">'[1]Forma 9'!$AA$178</definedName>
    <definedName name="SIS062_F_Auditokitosana1Paslaugaproduk8">'[1]Forma 9'!$Y$178</definedName>
    <definedName name="SIS062_F_Auditokitosana1Paslaugaproduk9">'[1]Forma 9'!$AB$178</definedName>
    <definedName name="SIS062_F_Auditoreguliuo1Geriamojovande1">'[1]Forma 9'!$X$177</definedName>
    <definedName name="SIS062_F_Auditoreguliuo1Konkurencinesi1">'[1]Forma 9'!$AA$177</definedName>
    <definedName name="SIS062_F_Auditoreguliuo1Paslaugaproduk8">'[1]Forma 9'!$Y$177</definedName>
    <definedName name="SIS062_F_Auditoreguliuo1Paslaugaproduk9">'[1]Forma 9'!$AB$177</definedName>
    <definedName name="SIS062_F_Balansavimoauk1Geriamojovande1">'[1]Forma 9'!$X$21</definedName>
    <definedName name="SIS062_F_Balansavimoauk1Konkurencinesi1">'[1]Forma 9'!$AA$21</definedName>
    <definedName name="SIS062_F_Balansavimoauk1Paslaugaproduk8">'[1]Forma 9'!$Y$21</definedName>
    <definedName name="SIS062_F_Balansavimoauk1Paslaugaproduk9">'[1]Forma 9'!$AB$21</definedName>
    <definedName name="SIS062_F_Balansavimosan1Geriamojovande1">'[1]Forma 9'!$X$23</definedName>
    <definedName name="SIS062_F_Balansavimosan1Konkurencinesi1">'[1]Forma 9'!$AA$23</definedName>
    <definedName name="SIS062_F_Balansavimosan1Paslaugaproduk8">'[1]Forma 9'!$Y$23</definedName>
    <definedName name="SIS062_F_Balansavimosan1Paslaugaproduk9">'[1]Forma 9'!$AB$23</definedName>
    <definedName name="SIS062_F_Bankopaslauguk1Geriamojovande1">'[1]Forma 9'!$X$141</definedName>
    <definedName name="SIS062_F_Bankopaslauguk1Konkurencinesi1">'[1]Forma 9'!$AA$141</definedName>
    <definedName name="SIS062_F_Bankopaslauguk1Paslaugaproduk8">'[1]Forma 9'!$Y$141</definedName>
    <definedName name="SIS062_F_Bankopaslauguk1Paslaugaproduk9">'[1]Forma 9'!$AB$141</definedName>
    <definedName name="SIS062_F_Beviltiskossko1Geriamojovande1">'[1]Forma 9'!$X$184</definedName>
    <definedName name="SIS062_F_Beviltiskossko1Konkurencinesi1">'[1]Forma 9'!$AA$184</definedName>
    <definedName name="SIS062_F_Beviltiskossko1Paslaugaproduk8">'[1]Forma 9'!$Y$184</definedName>
    <definedName name="SIS062_F_Beviltiskossko1Paslaugaproduk9">'[1]Forma 9'!$AB$184</definedName>
    <definedName name="SIS062_F_Biodujuisigiji1Geriamojovande1">'[1]Forma 9'!$X$38</definedName>
    <definedName name="SIS062_F_Biodujuisigiji1Konkurencinesi1">'[1]Forma 9'!$AA$38</definedName>
    <definedName name="SIS062_F_Biodujuisigiji1Paslaugaproduk8">'[1]Forma 9'!$Y$38</definedName>
    <definedName name="SIS062_F_Biodujuisigiji1Paslaugaproduk9">'[1]Forma 9'!$AB$38</definedName>
    <definedName name="SIS062_F_Cheminesmedzia1Geriamojovande1">'[1]Forma 9'!$X$61</definedName>
    <definedName name="SIS062_F_Cheminesmedzia1Konkurencinesi1">'[1]Forma 9'!$AA$61</definedName>
    <definedName name="SIS062_F_Cheminesmedzia1Paslaugaproduk8">'[1]Forma 9'!$Y$61</definedName>
    <definedName name="SIS062_F_Cheminesmedzia1Paslaugaproduk9">'[1]Forma 9'!$AB$61</definedName>
    <definedName name="SIS062_F_Darbdavioimoku1Geriamojovande1">'[1]Forma 9'!$X$121</definedName>
    <definedName name="SIS062_F_Darbdavioimoku1Konkurencinesi1">'[1]Forma 9'!$AA$121</definedName>
    <definedName name="SIS062_F_Darbdavioimoku1Paslaugaproduk8">'[1]Forma 9'!$Y$121</definedName>
    <definedName name="SIS062_F_Darbdavioimoku1Paslaugaproduk9">'[1]Forma 9'!$AB$121</definedName>
    <definedName name="SIS062_F_Darbouzmokesci1Geriamojovande1">'[1]Forma 9'!$X$120</definedName>
    <definedName name="SIS062_F_Darbouzmokesci1Konkurencinesi1">'[1]Forma 9'!$AA$120</definedName>
    <definedName name="SIS062_F_Darbouzmokesci1Paslaugaproduk8">'[1]Forma 9'!$Y$120</definedName>
    <definedName name="SIS062_F_Darbouzmokesci1Paslaugaproduk9">'[1]Forma 9'!$AB$120</definedName>
    <definedName name="SIS062_F_Dyzelinoisigij1Geriamojovande1">'[1]Forma 9'!$X$35</definedName>
    <definedName name="SIS062_F_Dyzelinoisigij1Konkurencinesi1">'[1]Forma 9'!$AA$35</definedName>
    <definedName name="SIS062_F_Dyzelinoisigij1Paslaugaproduk8">'[1]Forma 9'!$Y$35</definedName>
    <definedName name="SIS062_F_Dyzelinoisigij1Paslaugaproduk9">'[1]Forma 9'!$AB$35</definedName>
    <definedName name="SIS062_F_Durpiuisigijim1Geriamojovande1">'[1]Forma 9'!$X$40</definedName>
    <definedName name="SIS062_F_Durpiuisigijim1Konkurencinesi1">'[1]Forma 9'!$AA$40</definedName>
    <definedName name="SIS062_F_Durpiuisigijim1Paslaugaproduk8">'[1]Forma 9'!$Y$40</definedName>
    <definedName name="SIS062_F_Durpiuisigijim1Paslaugaproduk9">'[1]Forma 9'!$AB$40</definedName>
    <definedName name="SIS062_F_Elektrosenergi4Geriamojovande1">'[1]Forma 9'!$X$46</definedName>
    <definedName name="SIS062_F_Elektrosenergi4Konkurencinesi1">'[1]Forma 9'!$AA$46</definedName>
    <definedName name="SIS062_F_Elektrosenergi4Paslaugaproduk8">'[1]Forma 9'!$Y$46</definedName>
    <definedName name="SIS062_F_Elektrosenergi4Paslaugaproduk9">'[1]Forma 9'!$AB$46</definedName>
    <definedName name="SIS062_F_Energetikosist1Geriamojovande1">'[1]Forma 9'!$X$138</definedName>
    <definedName name="SIS062_F_Energetikosist1Konkurencinesi1">'[1]Forma 9'!$AA$138</definedName>
    <definedName name="SIS062_F_Energetikosist1Paslaugaproduk8">'[1]Forma 9'!$Y$138</definedName>
    <definedName name="SIS062_F_Energetikosist1Paslaugaproduk9">'[1]Forma 9'!$AB$138</definedName>
    <definedName name="SIS062_F_Energijosistek1Geriamojovande1">'[1]Forma 9'!$X$58</definedName>
    <definedName name="SIS062_F_Energijosistek1Konkurencinesi1">'[1]Forma 9'!$AA$58</definedName>
    <definedName name="SIS062_F_Energijosistek1Paslaugaproduk8">'[1]Forma 9'!$Y$58</definedName>
    <definedName name="SIS062_F_Energijosistek1Paslaugaproduk9">'[1]Forma 9'!$AB$58</definedName>
    <definedName name="SIS062_F_Gamybinespaski1Geriamojovande1">'[1]Forma 9'!$X$70</definedName>
    <definedName name="SIS062_F_Gamybinespaski1Konkurencinesi1">'[1]Forma 9'!$AA$70</definedName>
    <definedName name="SIS062_F_Gamybinespaski1Paslaugaproduk8">'[1]Forma 9'!$Y$70</definedName>
    <definedName name="SIS062_F_Gamybinespaski1Paslaugaproduk9">'[1]Forma 9'!$AB$70</definedName>
    <definedName name="SIS062_F_Gamybinespaski2Geriamojovande1">'[1]Forma 9'!$X$71</definedName>
    <definedName name="SIS062_F_Gamybinespaski2Konkurencinesi1">'[1]Forma 9'!$AA$71</definedName>
    <definedName name="SIS062_F_Gamybinespaski2Paslaugaproduk8">'[1]Forma 9'!$Y$71</definedName>
    <definedName name="SIS062_F_Gamybinespaski2Paslaugaproduk9">'[1]Forma 9'!$AB$71</definedName>
    <definedName name="SIS062_F_Gamybinespaski3Geriamojovande1">'[1]Forma 9'!$X$72</definedName>
    <definedName name="SIS062_F_Gamybinespaski3Konkurencinesi1">'[1]Forma 9'!$AA$72</definedName>
    <definedName name="SIS062_F_Gamybinespaski3Paslaugaproduk8">'[1]Forma 9'!$Y$72</definedName>
    <definedName name="SIS062_F_Gamybinespaski3Paslaugaproduk9">'[1]Forma 9'!$AB$72</definedName>
    <definedName name="SIS062_F_Gamybosobjektu1Geriamojovande1">'[1]Forma 9'!$X$93</definedName>
    <definedName name="SIS062_F_Gamybosobjektu1Konkurencinesi1">'[1]Forma 9'!$AA$93</definedName>
    <definedName name="SIS062_F_Gamybosobjektu1Paslaugaproduk8">'[1]Forma 9'!$Y$93</definedName>
    <definedName name="SIS062_F_Gamybosobjektu1Paslaugaproduk9">'[1]Forma 9'!$AB$93</definedName>
    <definedName name="SIS062_F_Gamtiniudujubi1Geriamojovande1">'[1]Forma 9'!$X$59</definedName>
    <definedName name="SIS062_F_Gamtiniudujubi1Konkurencinesi1">'[1]Forma 9'!$AA$59</definedName>
    <definedName name="SIS062_F_Gamtiniudujubi1Paslaugaproduk8">'[1]Forma 9'!$Y$59</definedName>
    <definedName name="SIS062_F_Gamtiniudujubi1Paslaugaproduk9">'[1]Forma 9'!$AB$59</definedName>
    <definedName name="SIS062_F_Gamtiniudujuis1Geriamojovande1">'[1]Forma 9'!$X$26</definedName>
    <definedName name="SIS062_F_Gamtiniudujuis1Konkurencinesi1">'[1]Forma 9'!$AA$26</definedName>
    <definedName name="SIS062_F_Gamtiniudujuis1Paslaugaproduk8">'[1]Forma 9'!$Y$26</definedName>
    <definedName name="SIS062_F_Gamtiniudujuis1Paslaugaproduk9">'[1]Forma 9'!$AB$26</definedName>
    <definedName name="SIS062_F_Investiciniotu1Geriamojovande1">'[1]Forma 9'!$X$90</definedName>
    <definedName name="SIS062_F_Investiciniotu1Konkurencinesi1">'[1]Forma 9'!$AA$90</definedName>
    <definedName name="SIS062_F_Investiciniotu1Paslaugaproduk8">'[1]Forma 9'!$Y$90</definedName>
    <definedName name="SIS062_F_Investiciniotu1Paslaugaproduk9">'[1]Forma 9'!$AB$90</definedName>
    <definedName name="SIS062_F_Iseitinespasal1Geriamojovande1">'[1]Forma 9'!$X$124</definedName>
    <definedName name="SIS062_F_Iseitinespasal1Konkurencinesi1">'[1]Forma 9'!$AA$124</definedName>
    <definedName name="SIS062_F_Iseitinespasal1Paslaugaproduk8">'[1]Forma 9'!$Y$124</definedName>
    <definedName name="SIS062_F_Iseitinespasal1Paslaugaproduk9">'[1]Forma 9'!$AB$124</definedName>
    <definedName name="SIS062_F_Itaptarnavimos1Geriamojovande1">'[1]Forma 9'!$X$96</definedName>
    <definedName name="SIS062_F_Itaptarnavimos1Konkurencinesi1">'[1]Forma 9'!$AA$96</definedName>
    <definedName name="SIS062_F_Itaptarnavimos1Paslaugaproduk8">'[1]Forma 9'!$Y$96</definedName>
    <definedName name="SIS062_F_Itaptarnavimos1Paslaugaproduk9">'[1]Forma 9'!$AB$96</definedName>
    <definedName name="SIS062_F_Kanceliariness1Geriamojovande1">'[1]Forma 9'!$X$151</definedName>
    <definedName name="SIS062_F_Kanceliariness1Konkurencinesi1">'[1]Forma 9'!$AA$151</definedName>
    <definedName name="SIS062_F_Kanceliariness1Paslaugaproduk8">'[1]Forma 9'!$Y$151</definedName>
    <definedName name="SIS062_F_Kanceliariness1Paslaugaproduk9">'[1]Forma 9'!$AB$151</definedName>
    <definedName name="SIS062_F_Kelionessanaud1Geriamojovande1">'[1]Forma 9'!$X$126</definedName>
    <definedName name="SIS062_F_Kelionessanaud1Konkurencinesi1">'[1]Forma 9'!$AA$126</definedName>
    <definedName name="SIS062_F_Kelionessanaud1Paslaugaproduk8">'[1]Forma 9'!$Y$126</definedName>
    <definedName name="SIS062_F_Kelionessanaud1Paslaugaproduk9">'[1]Forma 9'!$AB$126</definedName>
    <definedName name="SIS062_F_Kitoilgalaikio1Geriamojovande1">'[1]Forma 9'!$X$91</definedName>
    <definedName name="SIS062_F_Kitoilgalaikio1Konkurencinesi1">'[1]Forma 9'!$AA$91</definedName>
    <definedName name="SIS062_F_Kitoilgalaikio1Paslaugaproduk8">'[1]Forma 9'!$Y$91</definedName>
    <definedName name="SIS062_F_Kitoilgalaikio1Paslaugaproduk9">'[1]Forma 9'!$AB$91</definedName>
    <definedName name="SIS062_F_Kitomaterialau1Geriamojovande1">'[1]Forma 9'!$X$89</definedName>
    <definedName name="SIS062_F_Kitomaterialau1Konkurencinesi1">'[1]Forma 9'!$AA$89</definedName>
    <definedName name="SIS062_F_Kitomaterialau1Paslaugaproduk8">'[1]Forma 9'!$Y$89</definedName>
    <definedName name="SIS062_F_Kitomaterialau1Paslaugaproduk9">'[1]Forma 9'!$AB$89</definedName>
    <definedName name="SIS062_F_Kitonematerial1Geriamojovande1">'[1]Forma 9'!$X$69</definedName>
    <definedName name="SIS062_F_Kitonematerial1Konkurencinesi1">'[1]Forma 9'!$AA$69</definedName>
    <definedName name="SIS062_F_Kitonematerial1Paslaugaproduk8">'[1]Forma 9'!$Y$69</definedName>
    <definedName name="SIS062_F_Kitonematerial1Paslaugaproduk9">'[1]Forma 9'!$AB$69</definedName>
    <definedName name="SIS062_F_Kitosadministr1Geriamojovande1">'[1]Forma 9'!$X$156</definedName>
    <definedName name="SIS062_F_Kitosadministr1Konkurencinesi1">'[1]Forma 9'!$AA$156</definedName>
    <definedName name="SIS062_F_Kitosadministr1Paslaugaproduk8">'[1]Forma 9'!$Y$156</definedName>
    <definedName name="SIS062_F_Kitosadministr1Paslaugaproduk9">'[1]Forma 9'!$AB$156</definedName>
    <definedName name="SIS062_F_Kitosadministr2Geriamojovande1">'[1]Forma 9'!$X$157</definedName>
    <definedName name="SIS062_F_Kitosadministr2Konkurencinesi1">'[1]Forma 9'!$AA$157</definedName>
    <definedName name="SIS062_F_Kitosadministr2Paslaugaproduk8">'[1]Forma 9'!$Y$157</definedName>
    <definedName name="SIS062_F_Kitosadministr2Paslaugaproduk9">'[1]Forma 9'!$AB$157</definedName>
    <definedName name="SIS062_F_Kitosadministr3Geriamojovande1">'[1]Forma 9'!$X$158</definedName>
    <definedName name="SIS062_F_Kitosadministr3Konkurencinesi1">'[1]Forma 9'!$AA$158</definedName>
    <definedName name="SIS062_F_Kitosadministr3Paslaugaproduk8">'[1]Forma 9'!$Y$158</definedName>
    <definedName name="SIS062_F_Kitosadministr3Paslaugaproduk9">'[1]Forma 9'!$AB$158</definedName>
    <definedName name="SIS062_F_Kitoseinamojor1Geriamojovande1">'[1]Forma 9'!$X$114</definedName>
    <definedName name="SIS062_F_Kitoseinamojor1Konkurencinesi1">'[1]Forma 9'!$AA$114</definedName>
    <definedName name="SIS062_F_Kitoseinamojor1Paslaugaproduk8">'[1]Forma 9'!$Y$114</definedName>
    <definedName name="SIS062_F_Kitoseinamojor1Paslaugaproduk9">'[1]Forma 9'!$AB$114</definedName>
    <definedName name="SIS062_F_Kitoseinamojor2Geriamojovande1">'[1]Forma 9'!$X$115</definedName>
    <definedName name="SIS062_F_Kitoseinamojor2Konkurencinesi1">'[1]Forma 9'!$AA$115</definedName>
    <definedName name="SIS062_F_Kitoseinamojor2Paslaugaproduk8">'[1]Forma 9'!$Y$115</definedName>
    <definedName name="SIS062_F_Kitoseinamojor2Paslaugaproduk9">'[1]Forma 9'!$AB$115</definedName>
    <definedName name="SIS062_F_Kitoseinamojor3Geriamojovande1">'[1]Forma 9'!$X$116</definedName>
    <definedName name="SIS062_F_Kitoseinamojor3Konkurencinesi1">'[1]Forma 9'!$AA$116</definedName>
    <definedName name="SIS062_F_Kitoseinamojor3Paslaugaproduk8">'[1]Forma 9'!$Y$116</definedName>
    <definedName name="SIS062_F_Kitoseinamojor3Paslaugaproduk9">'[1]Forma 9'!$AB$116</definedName>
    <definedName name="SIS062_F_Kitoseinamojor4Geriamojovande1">'[1]Forma 9'!$X$117</definedName>
    <definedName name="SIS062_F_Kitoseinamojor4Konkurencinesi1">'[1]Forma 9'!$AA$117</definedName>
    <definedName name="SIS062_F_Kitoseinamojor4Paslaugaproduk8">'[1]Forma 9'!$Y$117</definedName>
    <definedName name="SIS062_F_Kitoseinamojor4Paslaugaproduk9">'[1]Forma 9'!$AB$117</definedName>
    <definedName name="SIS062_F_Kitoseinamojor5Geriamojovande1">'[1]Forma 9'!$X$118</definedName>
    <definedName name="SIS062_F_Kitoseinamojor5Konkurencinesi1">'[1]Forma 9'!$AA$118</definedName>
    <definedName name="SIS062_F_Kitoseinamojor5Paslaugaproduk8">'[1]Forma 9'!$Y$118</definedName>
    <definedName name="SIS062_F_Kitoseinamojor5Paslaugaproduk9">'[1]Forma 9'!$AB$118</definedName>
    <definedName name="SIS062_F_Kitosfinansine1Geriamojovande1">'[1]Forma 9'!$X$144</definedName>
    <definedName name="SIS062_F_Kitosfinansine1Konkurencinesi1">'[1]Forma 9'!$AA$144</definedName>
    <definedName name="SIS062_F_Kitosfinansine1Paslaugaproduk8">'[1]Forma 9'!$Y$144</definedName>
    <definedName name="SIS062_F_Kitosfinansine1Paslaugaproduk9">'[1]Forma 9'!$AB$144</definedName>
    <definedName name="SIS062_F_Kitosfinansine2Geriamojovande1">'[1]Forma 9'!$X$145</definedName>
    <definedName name="SIS062_F_Kitosfinansine2Konkurencinesi1">'[1]Forma 9'!$AA$145</definedName>
    <definedName name="SIS062_F_Kitosfinansine2Paslaugaproduk8">'[1]Forma 9'!$Y$145</definedName>
    <definedName name="SIS062_F_Kitosfinansine2Paslaugaproduk9">'[1]Forma 9'!$AB$145</definedName>
    <definedName name="SIS062_F_Kitosirangospr1Geriamojovande1">'[1]Forma 9'!$X$79</definedName>
    <definedName name="SIS062_F_Kitosirangospr1Konkurencinesi1">'[1]Forma 9'!$AA$79</definedName>
    <definedName name="SIS062_F_Kitosirangospr1Paslaugaproduk8">'[1]Forma 9'!$Y$79</definedName>
    <definedName name="SIS062_F_Kitosirangospr1Paslaugaproduk9">'[1]Forma 9'!$AB$79</definedName>
    <definedName name="SIS062_F_Kitosirangospr2Geriamojovande1">'[1]Forma 9'!$X$85</definedName>
    <definedName name="SIS062_F_Kitosirangospr2Konkurencinesi1">'[1]Forma 9'!$AA$85</definedName>
    <definedName name="SIS062_F_Kitosirangospr2Paslaugaproduk8">'[1]Forma 9'!$Y$85</definedName>
    <definedName name="SIS062_F_Kitosirangospr2Paslaugaproduk9">'[1]Forma 9'!$AB$85</definedName>
    <definedName name="SIS062_F_Kitosirangospr3Geriamojovande1">'[1]Forma 9'!$X$86</definedName>
    <definedName name="SIS062_F_Kitosirangospr3Konkurencinesi1">'[1]Forma 9'!$AA$86</definedName>
    <definedName name="SIS062_F_Kitosirangospr3Paslaugaproduk8">'[1]Forma 9'!$Y$86</definedName>
    <definedName name="SIS062_F_Kitosirangospr3Paslaugaproduk9">'[1]Forma 9'!$AB$86</definedName>
    <definedName name="SIS062_F_Kitosirangospr4Geriamojovande1">'[1]Forma 9'!$X$87</definedName>
    <definedName name="SIS062_F_Kitosirangospr4Konkurencinesi1">'[1]Forma 9'!$AA$87</definedName>
    <definedName name="SIS062_F_Kitosirangospr4Paslaugaproduk8">'[1]Forma 9'!$Y$87</definedName>
    <definedName name="SIS062_F_Kitosirangospr4Paslaugaproduk9">'[1]Forma 9'!$AB$87</definedName>
    <definedName name="SIS062_F_Kitoskintamosi2Geriamojovande1">'[1]Forma 9'!$X$62</definedName>
    <definedName name="SIS062_F_Kitoskintamosi2Konkurencinesi1">'[1]Forma 9'!$AA$62</definedName>
    <definedName name="SIS062_F_Kitoskintamosi2Paslaugaproduk8">'[1]Forma 9'!$Y$62</definedName>
    <definedName name="SIS062_F_Kitoskintamosi2Paslaugaproduk9">'[1]Forma 9'!$AB$62</definedName>
    <definedName name="SIS062_F_Kitoskintamosi3Geriamojovande1">'[1]Forma 9'!$X$63</definedName>
    <definedName name="SIS062_F_Kitoskintamosi3Konkurencinesi1">'[1]Forma 9'!$AA$63</definedName>
    <definedName name="SIS062_F_Kitoskintamosi3Paslaugaproduk8">'[1]Forma 9'!$Y$63</definedName>
    <definedName name="SIS062_F_Kitoskintamosi3Paslaugaproduk9">'[1]Forma 9'!$AB$63</definedName>
    <definedName name="SIS062_F_Kitoskurorusie1Geriamojovande1">'[1]Forma 9'!$X$41</definedName>
    <definedName name="SIS062_F_Kitoskurorusie1Konkurencinesi1">'[1]Forma 9'!$AA$41</definedName>
    <definedName name="SIS062_F_Kitoskurorusie1Paslaugaproduk8">'[1]Forma 9'!$Y$41</definedName>
    <definedName name="SIS062_F_Kitoskurorusie1Paslaugaproduk9">'[1]Forma 9'!$AB$41</definedName>
    <definedName name="SIS062_F_Kitoskurorusie2Geriamojovande1">'[1]Forma 9'!$X$42</definedName>
    <definedName name="SIS062_F_Kitoskurorusie2Konkurencinesi1">'[1]Forma 9'!$AA$42</definedName>
    <definedName name="SIS062_F_Kitoskurorusie2Paslaugaproduk8">'[1]Forma 9'!$Y$42</definedName>
    <definedName name="SIS062_F_Kitoskurorusie2Paslaugaproduk9">'[1]Forma 9'!$AB$42</definedName>
    <definedName name="SIS062_F_Kitoskurorusie3Geriamojovande1">'[1]Forma 9'!$X$43</definedName>
    <definedName name="SIS062_F_Kitoskurorusie3Konkurencinesi1">'[1]Forma 9'!$AA$43</definedName>
    <definedName name="SIS062_F_Kitoskurorusie3Paslaugaproduk8">'[1]Forma 9'!$Y$43</definedName>
    <definedName name="SIS062_F_Kitoskurorusie3Paslaugaproduk9">'[1]Forma 9'!$AB$43</definedName>
    <definedName name="SIS062_F_Kitospaskirtie1Geriamojovande1">'[1]Forma 9'!$X$73</definedName>
    <definedName name="SIS062_F_Kitospaskirtie1Konkurencinesi1">'[1]Forma 9'!$AA$73</definedName>
    <definedName name="SIS062_F_Kitospaskirtie1Paslaugaproduk8">'[1]Forma 9'!$Y$73</definedName>
    <definedName name="SIS062_F_Kitospaskirtie1Paslaugaproduk9">'[1]Forma 9'!$AB$73</definedName>
    <definedName name="SIS062_F_Kitospaskirtie2Geriamojovande1">'[1]Forma 9'!$X$74</definedName>
    <definedName name="SIS062_F_Kitospaskirtie2Konkurencinesi1">'[1]Forma 9'!$AA$74</definedName>
    <definedName name="SIS062_F_Kitospaskirtie2Paslaugaproduk8">'[1]Forma 9'!$Y$74</definedName>
    <definedName name="SIS062_F_Kitospaskirtie2Paslaugaproduk9">'[1]Forma 9'!$AB$74</definedName>
    <definedName name="SIS062_F_Kitospaskirtie3Geriamojovande1">'[1]Forma 9'!$X$75</definedName>
    <definedName name="SIS062_F_Kitospaskirtie3Konkurencinesi1">'[1]Forma 9'!$AA$75</definedName>
    <definedName name="SIS062_F_Kitospaskirtie3Paslaugaproduk8">'[1]Forma 9'!$Y$75</definedName>
    <definedName name="SIS062_F_Kitospaskirtie3Paslaugaproduk9">'[1]Forma 9'!$AB$75</definedName>
    <definedName name="SIS062_F_Kitospaskirtie4Geriamojovande1">'[1]Forma 9'!$X$76</definedName>
    <definedName name="SIS062_F_Kitospaskirtie4Konkurencinesi1">'[1]Forma 9'!$AA$76</definedName>
    <definedName name="SIS062_F_Kitospaskirtie4Paslaugaproduk8">'[1]Forma 9'!$Y$76</definedName>
    <definedName name="SIS062_F_Kitospaskirtie4Paslaugaproduk9">'[1]Forma 9'!$AB$76</definedName>
    <definedName name="SIS062_F_Kitospaskirtie5Geriamojovande1">'[1]Forma 9'!$X$78</definedName>
    <definedName name="SIS062_F_Kitospaskirtie5Konkurencinesi1">'[1]Forma 9'!$AA$78</definedName>
    <definedName name="SIS062_F_Kitospaskirtie5Paslaugaproduk8">'[1]Forma 9'!$Y$78</definedName>
    <definedName name="SIS062_F_Kitospaskirtie5Paslaugaproduk9">'[1]Forma 9'!$AB$78</definedName>
    <definedName name="SIS062_F_Kitospastovios2Geriamojovande1">'[1]Forma 9'!$X$188</definedName>
    <definedName name="SIS062_F_Kitospastovios2Konkurencinesi1">'[1]Forma 9'!$AA$188</definedName>
    <definedName name="SIS062_F_Kitospastovios2Paslaugaproduk8">'[1]Forma 9'!$Y$188</definedName>
    <definedName name="SIS062_F_Kitospastovios2Paslaugaproduk9">'[1]Forma 9'!$AB$188</definedName>
    <definedName name="SIS062_F_Kitospastovios3Geriamojovande1">'[1]Forma 9'!$X$189</definedName>
    <definedName name="SIS062_F_Kitospastovios3Konkurencinesi1">'[1]Forma 9'!$AA$189</definedName>
    <definedName name="SIS062_F_Kitospastovios3Paslaugaproduk8">'[1]Forma 9'!$Y$189</definedName>
    <definedName name="SIS062_F_Kitospastovios3Paslaugaproduk9">'[1]Forma 9'!$AB$189</definedName>
    <definedName name="SIS062_F_Kitosrinkodaro1Geriamojovande1">'[1]Forma 9'!$X$168</definedName>
    <definedName name="SIS062_F_Kitosrinkodaro1Konkurencinesi1">'[1]Forma 9'!$AA$168</definedName>
    <definedName name="SIS062_F_Kitosrinkodaro1Paslaugaproduk8">'[1]Forma 9'!$Y$168</definedName>
    <definedName name="SIS062_F_Kitosrinkodaro1Paslaugaproduk9">'[1]Forma 9'!$AB$168</definedName>
    <definedName name="SIS062_F_Kitosrinkodaro2Geriamojovande1">'[1]Forma 9'!$X$169</definedName>
    <definedName name="SIS062_F_Kitosrinkodaro2Konkurencinesi1">'[1]Forma 9'!$AA$169</definedName>
    <definedName name="SIS062_F_Kitosrinkodaro2Paslaugaproduk8">'[1]Forma 9'!$Y$169</definedName>
    <definedName name="SIS062_F_Kitosrinkodaro2Paslaugaproduk9">'[1]Forma 9'!$AB$169</definedName>
    <definedName name="SIS062_F_Kitossanaudoss1Geriamojovande1">'[1]Forma 9'!$X$24</definedName>
    <definedName name="SIS062_F_Kitossanaudoss1Konkurencinesi1">'[1]Forma 9'!$AA$24</definedName>
    <definedName name="SIS062_F_Kitossanaudoss1Paslaugaproduk8">'[1]Forma 9'!$Y$24</definedName>
    <definedName name="SIS062_F_Kitossanaudoss1Paslaugaproduk9">'[1]Forma 9'!$AB$24</definedName>
    <definedName name="SIS062_F_Kitossanaudoss2Geriamojovande1">'[1]Forma 9'!$X$44</definedName>
    <definedName name="SIS062_F_Kitossanaudoss2Konkurencinesi1">'[1]Forma 9'!$AA$44</definedName>
    <definedName name="SIS062_F_Kitossanaudoss2Paslaugaproduk8">'[1]Forma 9'!$Y$44</definedName>
    <definedName name="SIS062_F_Kitossanaudoss2Paslaugaproduk9">'[1]Forma 9'!$AB$44</definedName>
    <definedName name="SIS062_F_Kitossanaudoss3Geriamojovande1">'[1]Forma 9'!$X$47</definedName>
    <definedName name="SIS062_F_Kitossanaudoss3Konkurencinesi1">'[1]Forma 9'!$AA$47</definedName>
    <definedName name="SIS062_F_Kitossanaudoss3Paslaugaproduk8">'[1]Forma 9'!$Y$47</definedName>
    <definedName name="SIS062_F_Kitossanaudoss3Paslaugaproduk9">'[1]Forma 9'!$AB$47</definedName>
    <definedName name="SIS062_F_Kitossanaudoss4Geriamojovande1">'[1]Forma 9'!$X$51</definedName>
    <definedName name="SIS062_F_Kitossanaudoss4Konkurencinesi1">'[1]Forma 9'!$AA$51</definedName>
    <definedName name="SIS062_F_Kitossanaudoss4Paslaugaproduk8">'[1]Forma 9'!$Y$51</definedName>
    <definedName name="SIS062_F_Kitossanaudoss4Paslaugaproduk9">'[1]Forma 9'!$AB$51</definedName>
    <definedName name="SIS062_F_Kitossanaudoss5Geriamojovande1">'[1]Forma 9'!$X$54</definedName>
    <definedName name="SIS062_F_Kitossanaudoss5Konkurencinesi1">'[1]Forma 9'!$AA$54</definedName>
    <definedName name="SIS062_F_Kitossanaudoss5Paslaugaproduk8">'[1]Forma 9'!$Y$54</definedName>
    <definedName name="SIS062_F_Kitossanaudoss5Paslaugaproduk9">'[1]Forma 9'!$AB$54</definedName>
    <definedName name="SIS062_F_Kitossanaudoss6Geriamojovande1">'[1]Forma 9'!$X$55</definedName>
    <definedName name="SIS062_F_Kitossanaudoss6Konkurencinesi1">'[1]Forma 9'!$AA$55</definedName>
    <definedName name="SIS062_F_Kitossanaudoss6Paslaugaproduk8">'[1]Forma 9'!$Y$55</definedName>
    <definedName name="SIS062_F_Kitossanaudoss6Paslaugaproduk9">'[1]Forma 9'!$AB$55</definedName>
    <definedName name="SIS062_F_Kitossanaudoss7Geriamojovande1">'[1]Forma 9'!$X$172</definedName>
    <definedName name="SIS062_F_Kitossanaudoss7Konkurencinesi1">'[1]Forma 9'!$AA$172</definedName>
    <definedName name="SIS062_F_Kitossanaudoss7Paslaugaproduk8">'[1]Forma 9'!$Y$172</definedName>
    <definedName name="SIS062_F_Kitossanaudoss7Paslaugaproduk9">'[1]Forma 9'!$AB$172</definedName>
    <definedName name="SIS062_F_Kitossupersona1Geriamojovande1">'[1]Forma 9'!$X$128</definedName>
    <definedName name="SIS062_F_Kitossupersona1Konkurencinesi1">'[1]Forma 9'!$AA$128</definedName>
    <definedName name="SIS062_F_Kitossupersona1Paslaugaproduk8">'[1]Forma 9'!$Y$128</definedName>
    <definedName name="SIS062_F_Kitossupersona1Paslaugaproduk9">'[1]Forma 9'!$AB$128</definedName>
    <definedName name="SIS062_F_Kitossupersona2Geriamojovande1">'[1]Forma 9'!$X$129</definedName>
    <definedName name="SIS062_F_Kitossupersona2Konkurencinesi1">'[1]Forma 9'!$AA$129</definedName>
    <definedName name="SIS062_F_Kitossupersona2Paslaugaproduk8">'[1]Forma 9'!$Y$129</definedName>
    <definedName name="SIS062_F_Kitossupersona2Paslaugaproduk9">'[1]Forma 9'!$AB$129</definedName>
    <definedName name="SIS062_F_Kitossupersona3Geriamojovande1">'[1]Forma 9'!$X$130</definedName>
    <definedName name="SIS062_F_Kitossupersona3Konkurencinesi1">'[1]Forma 9'!$AA$130</definedName>
    <definedName name="SIS062_F_Kitossupersona3Paslaugaproduk8">'[1]Forma 9'!$Y$130</definedName>
    <definedName name="SIS062_F_Kitossupersona3Paslaugaproduk9">'[1]Forma 9'!$AB$130</definedName>
    <definedName name="SIS062_F_Kitossupersona4Geriamojovande1">'[1]Forma 9'!$X$131</definedName>
    <definedName name="SIS062_F_Kitossupersona4Konkurencinesi1">'[1]Forma 9'!$AA$131</definedName>
    <definedName name="SIS062_F_Kitossupersona4Paslaugaproduk8">'[1]Forma 9'!$Y$131</definedName>
    <definedName name="SIS062_F_Kitossupersona4Paslaugaproduk9">'[1]Forma 9'!$AB$131</definedName>
    <definedName name="SIS062_F_Kitumasinuirir1Geriamojovande1">'[1]Forma 9'!$X$84</definedName>
    <definedName name="SIS062_F_Kitumasinuirir1Konkurencinesi1">'[1]Forma 9'!$AA$84</definedName>
    <definedName name="SIS062_F_Kitumasinuirir1Paslaugaproduk8">'[1]Forma 9'!$Y$84</definedName>
    <definedName name="SIS062_F_Kitumasinuirir1Paslaugaproduk9">'[1]Forma 9'!$AB$84</definedName>
    <definedName name="SIS062_F_Kitumokesciuva1Geriamojovande1">'[1]Forma 9'!$X$139</definedName>
    <definedName name="SIS062_F_Kitumokesciuva1Konkurencinesi1">'[1]Forma 9'!$AA$139</definedName>
    <definedName name="SIS062_F_Kitumokesciuva1Paslaugaproduk8">'[1]Forma 9'!$Y$139</definedName>
    <definedName name="SIS062_F_Kitumokesciuva1Paslaugaproduk9">'[1]Forma 9'!$AB$139</definedName>
    <definedName name="SIS062_F_Kituobjektunur1Geriamojovande1">'[1]Forma 9'!$X$97</definedName>
    <definedName name="SIS062_F_Kituobjektunur1Konkurencinesi1">'[1]Forma 9'!$AA$97</definedName>
    <definedName name="SIS062_F_Kituobjektunur1Paslaugaproduk8">'[1]Forma 9'!$Y$97</definedName>
    <definedName name="SIS062_F_Kituobjektunur1Paslaugaproduk9">'[1]Forma 9'!$AB$97</definedName>
    <definedName name="SIS062_F_Komunalinespas1Geriamojovande1">'[1]Forma 9'!$X$154</definedName>
    <definedName name="SIS062_F_Komunalinespas1Konkurencinesi1">'[1]Forma 9'!$AA$154</definedName>
    <definedName name="SIS062_F_Komunalinespas1Paslaugaproduk8">'[1]Forma 9'!$Y$154</definedName>
    <definedName name="SIS062_F_Komunalinespas1Paslaugaproduk9">'[1]Forma 9'!$AB$154</definedName>
    <definedName name="SIS062_F_Komunaliniupas1Geriamojovande1">'[1]Forma 9'!$X$109</definedName>
    <definedName name="SIS062_F_Komunaliniupas1Konkurencinesi1">'[1]Forma 9'!$AA$109</definedName>
    <definedName name="SIS062_F_Komunaliniupas1Paslaugaproduk8">'[1]Forma 9'!$Y$109</definedName>
    <definedName name="SIS062_F_Komunaliniupas1Paslaugaproduk9">'[1]Forma 9'!$AB$109</definedName>
    <definedName name="SIS062_F_Konsultacinesp1Geriamojovande1">'[1]Forma 9'!$X$148</definedName>
    <definedName name="SIS062_F_Konsultacinesp1Konkurencinesi1">'[1]Forma 9'!$AA$148</definedName>
    <definedName name="SIS062_F_Konsultacinesp1Paslaugaproduk8">'[1]Forma 9'!$Y$148</definedName>
    <definedName name="SIS062_F_Konsultacinesp1Paslaugaproduk9">'[1]Forma 9'!$AB$148</definedName>
    <definedName name="SIS062_F_Labdaraparamas1Geriamojovande1">'[1]Forma 9'!$X$183</definedName>
    <definedName name="SIS062_F_Labdaraparamas1Konkurencinesi1">'[1]Forma 9'!$AA$183</definedName>
    <definedName name="SIS062_F_Labdaraparamas1Paslaugaproduk8">'[1]Forma 9'!$Y$183</definedName>
    <definedName name="SIS062_F_Labdaraparamas1Paslaugaproduk9">'[1]Forma 9'!$AB$183</definedName>
    <definedName name="SIS062_F_Laboratoriniai1Geriamojovande1">'[1]Forma 9'!$X$60</definedName>
    <definedName name="SIS062_F_Laboratoriniai1Konkurencinesi1">'[1]Forma 9'!$AA$60</definedName>
    <definedName name="SIS062_F_Laboratoriniai1Paslaugaproduk8">'[1]Forma 9'!$Y$60</definedName>
    <definedName name="SIS062_F_Laboratoriniai1Paslaugaproduk9">'[1]Forma 9'!$AB$60</definedName>
    <definedName name="SIS062_F_Likviduotonura1Geriamojovande1">'[1]Forma 9'!$X$181</definedName>
    <definedName name="SIS062_F_Likviduotonura1Konkurencinesi1">'[1]Forma 9'!$AA$181</definedName>
    <definedName name="SIS062_F_Likviduotonura1Paslaugaproduk8">'[1]Forma 9'!$Y$181</definedName>
    <definedName name="SIS062_F_Likviduotonura1Paslaugaproduk9">'[1]Forma 9'!$AB$181</definedName>
    <definedName name="SIS062_F_Malkinesmedien1Geriamojovande1">'[1]Forma 9'!$X$31</definedName>
    <definedName name="SIS062_F_Malkinesmedien1Konkurencinesi1">'[1]Forma 9'!$AA$31</definedName>
    <definedName name="SIS062_F_Malkinesmedien1Paslaugaproduk8">'[1]Forma 9'!$Y$31</definedName>
    <definedName name="SIS062_F_Malkinesmedien1Paslaugaproduk9">'[1]Forma 9'!$AB$31</definedName>
    <definedName name="SIS062_F_Masinuirirengi1Geriamojovande1">'[1]Forma 9'!$X$80</definedName>
    <definedName name="SIS062_F_Masinuirirengi1Konkurencinesi1">'[1]Forma 9'!$AA$80</definedName>
    <definedName name="SIS062_F_Masinuirirengi1Paslaugaproduk8">'[1]Forma 9'!$Y$80</definedName>
    <definedName name="SIS062_F_Masinuirirengi1Paslaugaproduk9">'[1]Forma 9'!$AB$80</definedName>
    <definedName name="SIS062_F_Masinuirirengi2Geriamojovande1">'[1]Forma 9'!$X$81</definedName>
    <definedName name="SIS062_F_Masinuirirengi2Konkurencinesi1">'[1]Forma 9'!$AA$81</definedName>
    <definedName name="SIS062_F_Masinuirirengi2Paslaugaproduk8">'[1]Forma 9'!$Y$81</definedName>
    <definedName name="SIS062_F_Masinuirirengi2Paslaugaproduk9">'[1]Forma 9'!$AB$81</definedName>
    <definedName name="SIS062_F_Masinuirirengi3Geriamojovande1">'[1]Forma 9'!$X$82</definedName>
    <definedName name="SIS062_F_Masinuirirengi3Konkurencinesi1">'[1]Forma 9'!$AA$82</definedName>
    <definedName name="SIS062_F_Masinuirirengi3Paslaugaproduk8">'[1]Forma 9'!$Y$82</definedName>
    <definedName name="SIS062_F_Masinuirirengi3Paslaugaproduk9">'[1]Forma 9'!$AB$82</definedName>
    <definedName name="SIS062_F_Masinuirirengi4Geriamojovande1">'[1]Forma 9'!$X$83</definedName>
    <definedName name="SIS062_F_Masinuirirengi4Konkurencinesi1">'[1]Forma 9'!$AA$83</definedName>
    <definedName name="SIS062_F_Masinuirirengi4Paslaugaproduk8">'[1]Forma 9'!$Y$83</definedName>
    <definedName name="SIS062_F_Masinuirirengi4Paslaugaproduk9">'[1]Forma 9'!$AB$83</definedName>
    <definedName name="SIS062_F_Mazavercioinve1Geriamojovande1">'[1]Forma 9'!$X$107</definedName>
    <definedName name="SIS062_F_Mazavercioinve1Konkurencinesi1">'[1]Forma 9'!$AA$107</definedName>
    <definedName name="SIS062_F_Mazavercioinve1Paslaugaproduk8">'[1]Forma 9'!$Y$107</definedName>
    <definedName name="SIS062_F_Mazavercioinve1Paslaugaproduk9">'[1]Forma 9'!$AB$107</definedName>
    <definedName name="SIS062_F_Mazutoisigijim1Geriamojovande1">'[1]Forma 9'!$X$27</definedName>
    <definedName name="SIS062_F_Mazutoisigijim1Konkurencinesi1">'[1]Forma 9'!$AA$27</definedName>
    <definedName name="SIS062_F_Mazutoisigijim1Paslaugaproduk8">'[1]Forma 9'!$Y$27</definedName>
    <definedName name="SIS062_F_Mazutoisigijim1Paslaugaproduk9">'[1]Forma 9'!$AB$27</definedName>
    <definedName name="SIS062_F_Medienosbriket1Geriamojovande1">'[1]Forma 9'!$X$32</definedName>
    <definedName name="SIS062_F_Medienosbriket1Konkurencinesi1">'[1]Forma 9'!$AA$32</definedName>
    <definedName name="SIS062_F_Medienosbriket1Paslaugaproduk8">'[1]Forma 9'!$Y$32</definedName>
    <definedName name="SIS062_F_Medienosbriket1Paslaugaproduk9">'[1]Forma 9'!$AB$32</definedName>
    <definedName name="SIS062_F_Medienosisigij1Geriamojovande1">'[1]Forma 9'!$X$28</definedName>
    <definedName name="SIS062_F_Medienosisigij1Konkurencinesi1">'[1]Forma 9'!$AA$28</definedName>
    <definedName name="SIS062_F_Medienosisigij1Paslaugaproduk8">'[1]Forma 9'!$Y$28</definedName>
    <definedName name="SIS062_F_Medienosisigij1Paslaugaproduk9">'[1]Forma 9'!$AB$28</definedName>
    <definedName name="SIS062_F_Medienoskilmes1Geriamojovande1">'[1]Forma 9'!$X$30</definedName>
    <definedName name="SIS062_F_Medienoskilmes1Konkurencinesi1">'[1]Forma 9'!$AA$30</definedName>
    <definedName name="SIS062_F_Medienoskilmes1Paslaugaproduk8">'[1]Forma 9'!$Y$30</definedName>
    <definedName name="SIS062_F_Medienoskilmes1Paslaugaproduk9">'[1]Forma 9'!$AB$30</definedName>
    <definedName name="SIS062_F_Medienosskiedr1Geriamojovande1">'[1]Forma 9'!$X$29</definedName>
    <definedName name="SIS062_F_Medienosskiedr1Konkurencinesi1">'[1]Forma 9'!$AA$29</definedName>
    <definedName name="SIS062_F_Medienosskiedr1Paslaugaproduk8">'[1]Forma 9'!$Y$29</definedName>
    <definedName name="SIS062_F_Medienosskiedr1Paslaugaproduk9">'[1]Forma 9'!$AB$29</definedName>
    <definedName name="SIS062_F_Medziaguzaliav1Geriamojovande1">'[1]Forma 9'!$X$98</definedName>
    <definedName name="SIS062_F_Medziaguzaliav1Konkurencinesi1">'[1]Forma 9'!$AA$98</definedName>
    <definedName name="SIS062_F_Medziaguzaliav1Paslaugaproduk8">'[1]Forma 9'!$Y$98</definedName>
    <definedName name="SIS062_F_Medziaguzaliav1Paslaugaproduk9">'[1]Forma 9'!$AB$98</definedName>
    <definedName name="SIS062_F_Medziaguzaliav2Geriamojovande1">'[1]Forma 9'!$X$99</definedName>
    <definedName name="SIS062_F_Medziaguzaliav2Konkurencinesi1">'[1]Forma 9'!$AA$99</definedName>
    <definedName name="SIS062_F_Medziaguzaliav2Paslaugaproduk8">'[1]Forma 9'!$Y$99</definedName>
    <definedName name="SIS062_F_Medziaguzaliav2Paslaugaproduk9">'[1]Forma 9'!$AB$99</definedName>
    <definedName name="SIS062_F_Medziaguzaliav3Geriamojovande1">'[1]Forma 9'!$X$100</definedName>
    <definedName name="SIS062_F_Medziaguzaliav3Konkurencinesi1">'[1]Forma 9'!$AA$100</definedName>
    <definedName name="SIS062_F_Medziaguzaliav3Paslaugaproduk8">'[1]Forma 9'!$Y$100</definedName>
    <definedName name="SIS062_F_Medziaguzaliav3Paslaugaproduk9">'[1]Forma 9'!$AB$100</definedName>
    <definedName name="SIS062_F_Medziaguzaliav4Geriamojovande1">'[1]Forma 9'!$X$101</definedName>
    <definedName name="SIS062_F_Medziaguzaliav4Konkurencinesi1">'[1]Forma 9'!$AA$101</definedName>
    <definedName name="SIS062_F_Medziaguzaliav4Paslaugaproduk8">'[1]Forma 9'!$Y$101</definedName>
    <definedName name="SIS062_F_Medziaguzaliav4Paslaugaproduk9">'[1]Forma 9'!$AB$101</definedName>
    <definedName name="SIS062_F_Medziaguzaliav5Geriamojovande1">'[1]Forma 9'!$X$102</definedName>
    <definedName name="SIS062_F_Medziaguzaliav5Konkurencinesi1">'[1]Forma 9'!$AA$102</definedName>
    <definedName name="SIS062_F_Medziaguzaliav5Paslaugaproduk8">'[1]Forma 9'!$Y$102</definedName>
    <definedName name="SIS062_F_Medziaguzaliav5Paslaugaproduk9">'[1]Forma 9'!$AB$102</definedName>
    <definedName name="SIS062_F_Medziogranuliu1Geriamojovande1">'[1]Forma 9'!$X$33</definedName>
    <definedName name="SIS062_F_Medziogranuliu1Konkurencinesi1">'[1]Forma 9'!$AA$33</definedName>
    <definedName name="SIS062_F_Medziogranuliu1Paslaugaproduk8">'[1]Forma 9'!$Y$33</definedName>
    <definedName name="SIS062_F_Medziogranuliu1Paslaugaproduk9">'[1]Forma 9'!$AB$33</definedName>
    <definedName name="SIS062_F_Metrologinespa1Geriamojovande1">'[1]Forma 9'!$X$113</definedName>
    <definedName name="SIS062_F_Metrologinespa1Konkurencinesi1">'[1]Forma 9'!$AA$113</definedName>
    <definedName name="SIS062_F_Metrologinespa1Paslaugaproduk8">'[1]Forma 9'!$Y$113</definedName>
    <definedName name="SIS062_F_Metrologinespa1Paslaugaproduk9">'[1]Forma 9'!$AB$113</definedName>
    <definedName name="SIS062_F_Mokymukvalifik1Geriamojovande1">'[1]Forma 9'!$X$123</definedName>
    <definedName name="SIS062_F_Mokymukvalifik1Konkurencinesi1">'[1]Forma 9'!$AA$123</definedName>
    <definedName name="SIS062_F_Mokymukvalifik1Paslaugaproduk8">'[1]Forma 9'!$Y$123</definedName>
    <definedName name="SIS062_F_Mokymukvalifik1Paslaugaproduk9">'[1]Forma 9'!$AB$123</definedName>
    <definedName name="SIS062_F_Muitinesireksp1Geriamojovande1">'[1]Forma 9'!$X$112</definedName>
    <definedName name="SIS062_F_Muitinesireksp1Konkurencinesi1">'[1]Forma 9'!$AA$112</definedName>
    <definedName name="SIS062_F_Muitinesireksp1Paslaugaproduk8">'[1]Forma 9'!$Y$112</definedName>
    <definedName name="SIS062_F_Muitinesireksp1Paslaugaproduk9">'[1]Forma 9'!$AB$112</definedName>
    <definedName name="SIS062_F_Narystesstojam1Geriamojovande1">'[1]Forma 9'!$X$180</definedName>
    <definedName name="SIS062_F_Narystesstojam1Konkurencinesi1">'[1]Forma 9'!$AA$180</definedName>
    <definedName name="SIS062_F_Narystesstojam1Paslaugaproduk8">'[1]Forma 9'!$Y$180</definedName>
    <definedName name="SIS062_F_Narystesstojam1Paslaugaproduk9">'[1]Forma 9'!$AB$180</definedName>
    <definedName name="SIS062_F_Neigiamosmoket1Geriamojovande1">'[1]Forma 9'!$X$143</definedName>
    <definedName name="SIS062_F_Neigiamosmoket1Konkurencinesi1">'[1]Forma 9'!$AA$143</definedName>
    <definedName name="SIS062_F_Neigiamosmoket1Paslaugaproduk8">'[1]Forma 9'!$Y$143</definedName>
    <definedName name="SIS062_F_Neigiamosmoket1Paslaugaproduk9">'[1]Forma 9'!$AB$143</definedName>
    <definedName name="SIS062_F_Nekilnojamotur1Geriamojovande1">'[1]Forma 9'!$X$134</definedName>
    <definedName name="SIS062_F_Nekilnojamotur1Konkurencinesi1">'[1]Forma 9'!$AA$134</definedName>
    <definedName name="SIS062_F_Nekilnojamotur1Paslaugaproduk8">'[1]Forma 9'!$Y$134</definedName>
    <definedName name="SIS062_F_Nekilnojamotur1Paslaugaproduk9">'[1]Forma 9'!$AB$134</definedName>
    <definedName name="SIS062_F_Nuotekutvarkym1Geriamojovande1">'[1]Forma 9'!$X$50</definedName>
    <definedName name="SIS062_F_Nuotekutvarkym1Konkurencinesi1">'[1]Forma 9'!$AA$50</definedName>
    <definedName name="SIS062_F_Nuotekutvarkym1Paslaugaproduk8">'[1]Forma 9'!$Y$50</definedName>
    <definedName name="SIS062_F_Nuotekutvarkym1Paslaugaproduk9">'[1]Forma 9'!$AB$50</definedName>
    <definedName name="SIS062_F_Nuotolinesduom1Geriamojovande1">'[1]Forma 9'!$X$104</definedName>
    <definedName name="SIS062_F_Nuotolinesduom1Konkurencinesi1">'[1]Forma 9'!$AA$104</definedName>
    <definedName name="SIS062_F_Nuotolinesduom1Paslaugaproduk8">'[1]Forma 9'!$Y$104</definedName>
    <definedName name="SIS062_F_Nuotolinesduom1Paslaugaproduk9">'[1]Forma 9'!$AB$104</definedName>
    <definedName name="SIS062_F_Nurasytuatsisk1Geriamojovande1">'[1]Forma 9'!$X$182</definedName>
    <definedName name="SIS062_F_Nurasytuatsisk1Konkurencinesi1">'[1]Forma 9'!$AA$182</definedName>
    <definedName name="SIS062_F_Nurasytuatsisk1Paslaugaproduk8">'[1]Forma 9'!$Y$182</definedName>
    <definedName name="SIS062_F_Nurasytuatsisk1Paslaugaproduk9">'[1]Forma 9'!$AB$182</definedName>
    <definedName name="SIS062_F_Orginventoriau1Geriamojovande1">'[1]Forma 9'!$X$152</definedName>
    <definedName name="SIS062_F_Orginventoriau1Konkurencinesi1">'[1]Forma 9'!$AA$152</definedName>
    <definedName name="SIS062_F_Orginventoriau1Paslaugaproduk8">'[1]Forma 9'!$Y$152</definedName>
    <definedName name="SIS062_F_Orginventoriau1Paslaugaproduk9">'[1]Forma 9'!$AB$152</definedName>
    <definedName name="SIS062_F_Pajegumuaukcio1Geriamojovande1">'[1]Forma 9'!$X$22</definedName>
    <definedName name="SIS062_F_Pajegumuaukcio1Konkurencinesi1">'[1]Forma 9'!$AA$22</definedName>
    <definedName name="SIS062_F_Pajegumuaukcio1Paslaugaproduk8">'[1]Forma 9'!$Y$22</definedName>
    <definedName name="SIS062_F_Pajegumuaukcio1Paslaugaproduk9">'[1]Forma 9'!$AB$22</definedName>
    <definedName name="SIS062_F_Palukanusanaud1Geriamojovande1">'[1]Forma 9'!$X$142</definedName>
    <definedName name="SIS062_F_Palukanusanaud1Konkurencinesi1">'[1]Forma 9'!$AA$142</definedName>
    <definedName name="SIS062_F_Palukanusanaud1Paslaugaproduk8">'[1]Forma 9'!$Y$142</definedName>
    <definedName name="SIS062_F_Palukanusanaud1Paslaugaproduk9">'[1]Forma 9'!$AB$142</definedName>
    <definedName name="SIS062_F_Papildomodarbu1Geriamojovande1">'[1]Forma 9'!$X$122</definedName>
    <definedName name="SIS062_F_Papildomodarbu1Konkurencinesi1">'[1]Forma 9'!$AA$122</definedName>
    <definedName name="SIS062_F_Papildomodarbu1Paslaugaproduk8">'[1]Forma 9'!$Y$122</definedName>
    <definedName name="SIS062_F_Papildomodarbu1Paslaugaproduk9">'[1]Forma 9'!$AB$122</definedName>
    <definedName name="SIS062_F_Pastopasiuntin1Geriamojovande1">'[1]Forma 9'!$X$150</definedName>
    <definedName name="SIS062_F_Pastopasiuntin1Konkurencinesi1">'[1]Forma 9'!$AA$150</definedName>
    <definedName name="SIS062_F_Pastopasiuntin1Paslaugaproduk8">'[1]Forma 9'!$Y$150</definedName>
    <definedName name="SIS062_F_Pastopasiuntin1Paslaugaproduk9">'[1]Forma 9'!$AB$150</definedName>
    <definedName name="SIS062_F_Patalpuneadmin1Geriamojovande1">'[1]Forma 9'!$X$105</definedName>
    <definedName name="SIS062_F_Patalpuneadmin1Konkurencinesi1">'[1]Forma 9'!$AA$105</definedName>
    <definedName name="SIS062_F_Patalpuneadmin1Paslaugaproduk8">'[1]Forma 9'!$Y$105</definedName>
    <definedName name="SIS062_F_Patalpuneadmin1Paslaugaproduk9">'[1]Forma 9'!$AB$105</definedName>
    <definedName name="SIS062_F_Patalpuprieziu1Geriamojovande1">'[1]Forma 9'!$X$155</definedName>
    <definedName name="SIS062_F_Patalpuprieziu1Konkurencinesi1">'[1]Forma 9'!$AA$155</definedName>
    <definedName name="SIS062_F_Patalpuprieziu1Paslaugaproduk8">'[1]Forma 9'!$Y$155</definedName>
    <definedName name="SIS062_F_Patalpuprieziu1Paslaugaproduk9">'[1]Forma 9'!$AB$155</definedName>
    <definedName name="SIS062_F_Patentulicenci1Geriamojovande1">'[1]Forma 9'!$X$67</definedName>
    <definedName name="SIS062_F_Patentulicenci1Konkurencinesi1">'[1]Forma 9'!$AA$67</definedName>
    <definedName name="SIS062_F_Patentulicenci1Paslaugaproduk8">'[1]Forma 9'!$Y$67</definedName>
    <definedName name="SIS062_F_Patentulicenci1Paslaugaproduk9">'[1]Forma 9'!$AB$67</definedName>
    <definedName name="SIS062_F_Pelenutvarkymo1Geriamojovande1">'[1]Forma 9'!$X$57</definedName>
    <definedName name="SIS062_F_Pelenutvarkymo1Konkurencinesi1">'[1]Forma 9'!$AA$57</definedName>
    <definedName name="SIS062_F_Pelenutvarkymo1Paslaugaproduk8">'[1]Forma 9'!$Y$57</definedName>
    <definedName name="SIS062_F_Pelenutvarkymo1Paslaugaproduk9">'[1]Forma 9'!$AB$57</definedName>
    <definedName name="SIS062_F_Pletrosdarbunu1Geriamojovande1">'[1]Forma 9'!$X$65</definedName>
    <definedName name="SIS062_F_Pletrosdarbunu1Konkurencinesi1">'[1]Forma 9'!$AA$65</definedName>
    <definedName name="SIS062_F_Pletrosdarbunu1Paslaugaproduk8">'[1]Forma 9'!$Y$65</definedName>
    <definedName name="SIS062_F_Pletrosdarbunu1Paslaugaproduk9">'[1]Forma 9'!$AB$65</definedName>
    <definedName name="SIS062_F_Prekeszenkloiv1Geriamojovande1">'[1]Forma 9'!$X$162</definedName>
    <definedName name="SIS062_F_Prekeszenkloiv1Konkurencinesi1">'[1]Forma 9'!$AA$162</definedName>
    <definedName name="SIS062_F_Prekeszenkloiv1Paslaugaproduk8">'[1]Forma 9'!$Y$162</definedName>
    <definedName name="SIS062_F_Prekeszenkloiv1Paslaugaproduk9">'[1]Forma 9'!$AB$162</definedName>
    <definedName name="SIS062_F_Prestizonuside1Geriamojovande1">'[1]Forma 9'!$X$66</definedName>
    <definedName name="SIS062_F_Prestizonuside1Konkurencinesi1">'[1]Forma 9'!$AA$66</definedName>
    <definedName name="SIS062_F_Prestizonuside1Paslaugaproduk8">'[1]Forma 9'!$Y$66</definedName>
    <definedName name="SIS062_F_Prestizonuside1Paslaugaproduk9">'[1]Forma 9'!$AB$66</definedName>
    <definedName name="SIS062_F_Priskaitytosba1Geriamojovande1">'[1]Forma 9'!$X$185</definedName>
    <definedName name="SIS062_F_Priskaitytosba1Konkurencinesi1">'[1]Forma 9'!$AA$185</definedName>
    <definedName name="SIS062_F_Priskaitytosba1Paslaugaproduk8">'[1]Forma 9'!$Y$185</definedName>
    <definedName name="SIS062_F_Priskaitytosba1Paslaugaproduk9">'[1]Forma 9'!$AB$185</definedName>
    <definedName name="SIS062_F_Privalomovarto1Geriamojovande1">'[1]Forma 9'!$X$161</definedName>
    <definedName name="SIS062_F_Privalomovarto1Konkurencinesi1">'[1]Forma 9'!$AA$161</definedName>
    <definedName name="SIS062_F_Privalomovarto1Paslaugaproduk8">'[1]Forma 9'!$Y$161</definedName>
    <definedName name="SIS062_F_Privalomovarto1Paslaugaproduk9">'[1]Forma 9'!$AB$161</definedName>
    <definedName name="SIS062_F_Profesineliter1Geriamojovande1">'[1]Forma 9'!$X$153</definedName>
    <definedName name="SIS062_F_Profesineliter1Konkurencinesi1">'[1]Forma 9'!$AA$153</definedName>
    <definedName name="SIS062_F_Profesineliter1Paslaugaproduk8">'[1]Forma 9'!$Y$153</definedName>
    <definedName name="SIS062_F_Profesineliter1Paslaugaproduk9">'[1]Forma 9'!$AB$153</definedName>
    <definedName name="SIS062_F_Programinesira1Geriamojovande1">'[1]Forma 9'!$X$68</definedName>
    <definedName name="SIS062_F_Programinesira1Konkurencinesi1">'[1]Forma 9'!$AA$68</definedName>
    <definedName name="SIS062_F_Programinesira1Paslaugaproduk8">'[1]Forma 9'!$Y$68</definedName>
    <definedName name="SIS062_F_Programinesira1Paslaugaproduk9">'[1]Forma 9'!$AB$68</definedName>
    <definedName name="SIS062_F_Reklamospaslau1Geriamojovande1">'[1]Forma 9'!$X$160</definedName>
    <definedName name="SIS062_F_Reklamospaslau1Konkurencinesi1">'[1]Forma 9'!$AA$160</definedName>
    <definedName name="SIS062_F_Reklamospaslau1Paslaugaproduk8">'[1]Forma 9'!$Y$160</definedName>
    <definedName name="SIS062_F_Reklamospaslau1Paslaugaproduk9">'[1]Forma 9'!$AB$160</definedName>
    <definedName name="SIS062_F_Reprezentacijo1Geriamojovande1">'[1]Forma 9'!$X$166</definedName>
    <definedName name="SIS062_F_Reprezentacijo1Konkurencinesi1">'[1]Forma 9'!$AA$166</definedName>
    <definedName name="SIS062_F_Reprezentacijo1Paslaugaproduk8">'[1]Forma 9'!$Y$166</definedName>
    <definedName name="SIS062_F_Reprezentacijo1Paslaugaproduk9">'[1]Forma 9'!$AB$166</definedName>
    <definedName name="SIS062_F_Rezervinesgali1Geriamojovande1">'[1]Forma 9'!$X$187</definedName>
    <definedName name="SIS062_F_Rezervinesgali1Konkurencinesi1">'[1]Forma 9'!$AA$187</definedName>
    <definedName name="SIS062_F_Rezervinesgali1Paslaugaproduk8">'[1]Forma 9'!$Y$187</definedName>
    <definedName name="SIS062_F_Rezervinesgali1Paslaugaproduk9">'[1]Forma 9'!$AB$187</definedName>
    <definedName name="SIS062_F_Rezerviniokuro1Geriamojovande1">'[1]Forma 9'!$X$106</definedName>
    <definedName name="SIS062_F_Rezerviniokuro1Konkurencinesi1">'[1]Forma 9'!$AA$106</definedName>
    <definedName name="SIS062_F_Rezerviniokuro1Paslaugaproduk8">'[1]Forma 9'!$Y$106</definedName>
    <definedName name="SIS062_F_Rezerviniokuro1Paslaugaproduk9">'[1]Forma 9'!$AB$106</definedName>
    <definedName name="SIS062_F_Rinkostyrimusa1Geriamojovande1">'[1]Forma 9'!$X$163</definedName>
    <definedName name="SIS062_F_Rinkostyrimusa1Konkurencinesi1">'[1]Forma 9'!$AA$163</definedName>
    <definedName name="SIS062_F_Rinkostyrimusa1Paslaugaproduk8">'[1]Forma 9'!$Y$163</definedName>
    <definedName name="SIS062_F_Rinkostyrimusa1Paslaugaproduk9">'[1]Forma 9'!$AB$163</definedName>
    <definedName name="SIS062_F_Rysiupaslaugos1Geriamojovande1">'[1]Forma 9'!$X$149</definedName>
    <definedName name="SIS062_F_Rysiupaslaugos1Konkurencinesi1">'[1]Forma 9'!$AA$149</definedName>
    <definedName name="SIS062_F_Rysiupaslaugos1Paslaugaproduk8">'[1]Forma 9'!$Y$149</definedName>
    <definedName name="SIS062_F_Rysiupaslaugos1Paslaugaproduk9">'[1]Forma 9'!$AB$149</definedName>
    <definedName name="SIS062_F_Saskaituvartot1Geriamojovande1">'[1]Forma 9'!$X$164</definedName>
    <definedName name="SIS062_F_Saskaituvartot1Konkurencinesi1">'[1]Forma 9'!$AA$164</definedName>
    <definedName name="SIS062_F_Saskaituvartot1Paslaugaproduk8">'[1]Forma 9'!$Y$164</definedName>
    <definedName name="SIS062_F_Saskaituvartot1Paslaugaproduk9">'[1]Forma 9'!$AB$164</definedName>
    <definedName name="SIS062_F_Siaudiuisigiji1Geriamojovande1">'[1]Forma 9'!$X$39</definedName>
    <definedName name="SIS062_F_Siaudiuisigiji1Konkurencinesi1">'[1]Forma 9'!$AA$39</definedName>
    <definedName name="SIS062_F_Siaudiuisigiji1Paslaugaproduk8">'[1]Forma 9'!$Y$39</definedName>
    <definedName name="SIS062_F_Siaudiuisigiji1Paslaugaproduk9">'[1]Forma 9'!$AB$39</definedName>
    <definedName name="SIS062_F_Silumosisigiji2Geriamojovande1">'[1]Forma 9'!$X$19</definedName>
    <definedName name="SIS062_F_Silumosisigiji2Konkurencinesi1">'[1]Forma 9'!$AA$19</definedName>
    <definedName name="SIS062_F_Silumosisigiji2Paslaugaproduk8">'[1]Forma 9'!$Y$19</definedName>
    <definedName name="SIS062_F_Silumosisigiji2Paslaugaproduk9">'[1]Forma 9'!$AB$19</definedName>
    <definedName name="SIS062_F_Silumospunktue1Geriamojovande1">'[1]Forma 9'!$X$95</definedName>
    <definedName name="SIS062_F_Silumospunktue1Konkurencinesi1">'[1]Forma 9'!$AA$95</definedName>
    <definedName name="SIS062_F_Silumospunktue1Paslaugaproduk8">'[1]Forma 9'!$Y$95</definedName>
    <definedName name="SIS062_F_Silumospunktue1Paslaugaproduk9">'[1]Forma 9'!$AB$95</definedName>
    <definedName name="SIS062_F_Silumosukiotur2Geriamojovande1">'[1]Forma 9'!$X$171</definedName>
    <definedName name="SIS062_F_Silumosukiotur2Konkurencinesi1">'[1]Forma 9'!$AA$171</definedName>
    <definedName name="SIS062_F_Silumosukiotur2Paslaugaproduk8">'[1]Forma 9'!$Y$171</definedName>
    <definedName name="SIS062_F_Silumosukiotur2Paslaugaproduk9">'[1]Forma 9'!$AB$171</definedName>
    <definedName name="SIS062_F_Skalunualyvosi1Geriamojovande1">'[1]Forma 9'!$X$34</definedName>
    <definedName name="SIS062_F_Skalunualyvosi1Konkurencinesi1">'[1]Forma 9'!$AA$34</definedName>
    <definedName name="SIS062_F_Skalunualyvosi1Paslaugaproduk8">'[1]Forma 9'!$Y$34</definedName>
    <definedName name="SIS062_F_Skalunualyvosi1Paslaugaproduk9">'[1]Forma 9'!$AB$34</definedName>
    <definedName name="SIS062_F_Skoluisieskoji1Geriamojovande1">'[1]Forma 9'!$X$179</definedName>
    <definedName name="SIS062_F_Skoluisieskoji1Konkurencinesi1">'[1]Forma 9'!$AA$179</definedName>
    <definedName name="SIS062_F_Skoluisieskoji1Paslaugaproduk8">'[1]Forma 9'!$Y$179</definedName>
    <definedName name="SIS062_F_Skoluisieskoji1Paslaugaproduk9">'[1]Forma 9'!$AB$179</definedName>
    <definedName name="SIS062_F_Suskystintuduj1Geriamojovande1">'[1]Forma 9'!$X$36</definedName>
    <definedName name="SIS062_F_Suskystintuduj1Konkurencinesi1">'[1]Forma 9'!$AA$36</definedName>
    <definedName name="SIS062_F_Suskystintuduj1Paslaugaproduk8">'[1]Forma 9'!$Y$36</definedName>
    <definedName name="SIS062_F_Suskystintuduj1Paslaugaproduk9">'[1]Forma 9'!$AB$36</definedName>
    <definedName name="SIS062_F_Svietimoirkons1Geriamojovande1">'[1]Forma 9'!$X$167</definedName>
    <definedName name="SIS062_F_Svietimoirkons1Konkurencinesi1">'[1]Forma 9'!$AA$167</definedName>
    <definedName name="SIS062_F_Svietimoirkons1Paslaugaproduk8">'[1]Forma 9'!$Y$167</definedName>
    <definedName name="SIS062_F_Svietimoirkons1Paslaugaproduk9">'[1]Forma 9'!$AB$167</definedName>
    <definedName name="SIS062_F_Tantjemos1Geriamojovande1">'[1]Forma 9'!$X$186</definedName>
    <definedName name="SIS062_F_Tantjemos1Konkurencinesi1">'[1]Forma 9'!$AA$186</definedName>
    <definedName name="SIS062_F_Tantjemos1Paslaugaproduk8">'[1]Forma 9'!$Y$186</definedName>
    <definedName name="SIS062_F_Tantjemos1Paslaugaproduk9">'[1]Forma 9'!$AB$186</definedName>
    <definedName name="SIS062_F_Teisinespaslau1Geriamojovande1">'[1]Forma 9'!$X$147</definedName>
    <definedName name="SIS062_F_Teisinespaslau1Konkurencinesi1">'[1]Forma 9'!$AA$147</definedName>
    <definedName name="SIS062_F_Teisinespaslau1Paslaugaproduk8">'[1]Forma 9'!$Y$147</definedName>
    <definedName name="SIS062_F_Teisinespaslau1Paslaugaproduk9">'[1]Forma 9'!$AB$147</definedName>
    <definedName name="SIS062_F_Tinklueinamojo1Geriamojovande1">'[1]Forma 9'!$X$94</definedName>
    <definedName name="SIS062_F_Tinklueinamojo1Konkurencinesi1">'[1]Forma 9'!$AA$94</definedName>
    <definedName name="SIS062_F_Tinklueinamojo1Paslaugaproduk8">'[1]Forma 9'!$Y$94</definedName>
    <definedName name="SIS062_F_Tinklueinamojo1Paslaugaproduk9">'[1]Forma 9'!$AB$94</definedName>
    <definedName name="SIS062_F_Transportoprie1Geriamojovande1">'[1]Forma 9'!$X$88</definedName>
    <definedName name="SIS062_F_Transportoprie1Konkurencinesi1">'[1]Forma 9'!$AA$88</definedName>
    <definedName name="SIS062_F_Transportoprie1Paslaugaproduk8">'[1]Forma 9'!$Y$88</definedName>
    <definedName name="SIS062_F_Transportoprie1Paslaugaproduk9">'[1]Forma 9'!$AB$88</definedName>
    <definedName name="SIS062_F_Transportoprie2Geriamojovande1">'[1]Forma 9'!$X$110</definedName>
    <definedName name="SIS062_F_Transportoprie2Konkurencinesi1">'[1]Forma 9'!$AA$110</definedName>
    <definedName name="SIS062_F_Transportoprie2Paslaugaproduk8">'[1]Forma 9'!$Y$110</definedName>
    <definedName name="SIS062_F_Transportoprie2Paslaugaproduk9">'[1]Forma 9'!$AB$110</definedName>
    <definedName name="SIS062_F_Transportoprie3Geriamojovande1">'[1]Forma 9'!$X$111</definedName>
    <definedName name="SIS062_F_Transportoprie3Konkurencinesi1">'[1]Forma 9'!$AA$111</definedName>
    <definedName name="SIS062_F_Transportoprie3Paslaugaproduk8">'[1]Forma 9'!$Y$111</definedName>
    <definedName name="SIS062_F_Transportoprie3Paslaugaproduk9">'[1]Forma 9'!$AB$111</definedName>
    <definedName name="SIS062_F_Turtodraudimos1Geriamojovande1">'[1]Forma 9'!$X$174</definedName>
    <definedName name="SIS062_F_Turtodraudimos1Konkurencinesi1">'[1]Forma 9'!$AA$174</definedName>
    <definedName name="SIS062_F_Turtodraudimos1Paslaugaproduk8">'[1]Forma 9'!$Y$174</definedName>
    <definedName name="SIS062_F_Turtodraudimos1Paslaugaproduk9">'[1]Forma 9'!$AB$174</definedName>
    <definedName name="SIS062_F_Turtonuomosnes1Geriamojovande1">'[1]Forma 9'!$X$108</definedName>
    <definedName name="SIS062_F_Turtonuomosnes1Konkurencinesi1">'[1]Forma 9'!$AA$108</definedName>
    <definedName name="SIS062_F_Turtonuomosnes1Paslaugaproduk8">'[1]Forma 9'!$Y$108</definedName>
    <definedName name="SIS062_F_Turtonuomosnes1Paslaugaproduk9">'[1]Forma 9'!$AB$108</definedName>
    <definedName name="SIS062_F_Valstybiniuist1Geriamojovande1">'[1]Forma 9'!$X$136</definedName>
    <definedName name="SIS062_F_Valstybiniuist1Konkurencinesi1">'[1]Forma 9'!$AA$136</definedName>
    <definedName name="SIS062_F_Valstybiniuist1Paslaugaproduk8">'[1]Forma 9'!$Y$136</definedName>
    <definedName name="SIS062_F_Valstybiniuist1Paslaugaproduk9">'[1]Forma 9'!$AB$136</definedName>
    <definedName name="SIS062_F_Vandenstechnol2Geriamojovande1">'[1]Forma 9'!$X$49</definedName>
    <definedName name="SIS062_F_Vandenstechnol2Konkurencinesi1">'[1]Forma 9'!$AA$49</definedName>
    <definedName name="SIS062_F_Vandenstechnol2Paslaugaproduk8">'[1]Forma 9'!$Y$49</definedName>
    <definedName name="SIS062_F_Vandenstechnol2Paslaugaproduk9">'[1]Forma 9'!$AB$49</definedName>
    <definedName name="SIS062_F_Vartotojumokej1Geriamojovande1">'[1]Forma 9'!$X$165</definedName>
    <definedName name="SIS062_F_Vartotojumokej1Konkurencinesi1">'[1]Forma 9'!$AA$165</definedName>
    <definedName name="SIS062_F_Vartotojumokej1Paslaugaproduk8">'[1]Forma 9'!$Y$165</definedName>
    <definedName name="SIS062_F_Vartotojumokej1Paslaugaproduk9">'[1]Forma 9'!$AB$165</definedName>
    <definedName name="SIS062_F_Veiklosrizikos1Geriamojovande1">'[1]Forma 9'!$X$175</definedName>
    <definedName name="SIS062_F_Veiklosrizikos1Konkurencinesi1">'[1]Forma 9'!$AA$175</definedName>
    <definedName name="SIS062_F_Veiklosrizikos1Paslaugaproduk8">'[1]Forma 9'!$Y$175</definedName>
    <definedName name="SIS062_F_Veiklosrizikos1Paslaugaproduk9">'[1]Forma 9'!$AB$175</definedName>
    <definedName name="SIS062_F_Zemesmokescios1Geriamojovande1">'[1]Forma 9'!$X$133</definedName>
    <definedName name="SIS062_F_Zemesmokescios1Konkurencinesi1">'[1]Forma 9'!$AA$133</definedName>
    <definedName name="SIS062_F_Zemesmokescios1Paslaugaproduk8">'[1]Forma 9'!$Y$133</definedName>
    <definedName name="SIS062_F_Zemesmokescios1Paslaugaproduk9">'[1]Forma 9'!$AB$133</definedName>
    <definedName name="SIS062_F_Zyminiomokesci1Geriamojovande1">'[1]Forma 9'!$X$137</definedName>
    <definedName name="SIS062_F_Zyminiomokesci1Konkurencinesi1">'[1]Forma 9'!$AA$137</definedName>
    <definedName name="SIS062_F_Zyminiomokesci1Paslaugaproduk8">'[1]Forma 9'!$Y$137</definedName>
    <definedName name="SIS062_F_Zyminiomokesci1Paslaugaproduk9">'[1]Forma 9'!$AB$137</definedName>
    <definedName name="SIS063_F_Administracijo1Geriamojovande1">'[1]Forma 10'!$X$127</definedName>
    <definedName name="SIS063_F_Administracijo1Konkurencinesi1">'[1]Forma 10'!$AA$127</definedName>
    <definedName name="SIS063_F_Administracijo1Paslaugaproduk8">'[1]Forma 10'!$Y$127</definedName>
    <definedName name="SIS063_F_Administracijo1Paslaugaproduk9">'[1]Forma 10'!$AB$127</definedName>
    <definedName name="SIS063_F_Administracine1Geriamojovande1">'[1]Forma 10'!$X$77</definedName>
    <definedName name="SIS063_F_Administracine1Konkurencinesi1">'[1]Forma 10'!$AA$77</definedName>
    <definedName name="SIS063_F_Administracine1Paslaugaproduk8">'[1]Forma 10'!$Y$77</definedName>
    <definedName name="SIS063_F_Administracine1Paslaugaproduk9">'[1]Forma 10'!$AB$77</definedName>
    <definedName name="SIS063_F_Akmensangliesi1Geriamojovande1">'[1]Forma 10'!$X$37</definedName>
    <definedName name="SIS063_F_Akmensangliesi1Konkurencinesi1">'[1]Forma 10'!$AA$37</definedName>
    <definedName name="SIS063_F_Akmensangliesi1Paslaugaproduk8">'[1]Forma 10'!$Y$37</definedName>
    <definedName name="SIS063_F_Akmensangliesi1Paslaugaproduk9">'[1]Forma 10'!$AB$37</definedName>
    <definedName name="SIS063_F_Apyvartiniutar2Geriamojovande1">'[1]Forma 10'!$X$53</definedName>
    <definedName name="SIS063_F_Apyvartiniutar2Konkurencinesi1">'[1]Forma 10'!$AA$53</definedName>
    <definedName name="SIS063_F_Apyvartiniutar2Paslaugaproduk8">'[1]Forma 10'!$Y$53</definedName>
    <definedName name="SIS063_F_Apyvartiniutar2Paslaugaproduk9">'[1]Forma 10'!$AB$53</definedName>
    <definedName name="SIS063_F_Aplinkostarsos1Geriamojovande1">'[1]Forma 10'!$X$135</definedName>
    <definedName name="SIS063_F_Aplinkostarsos1Konkurencinesi1">'[1]Forma 10'!$AA$135</definedName>
    <definedName name="SIS063_F_Aplinkostarsos1Paslaugaproduk8">'[1]Forma 10'!$Y$135</definedName>
    <definedName name="SIS063_F_Aplinkostarsos1Paslaugaproduk9">'[1]Forma 10'!$AB$135</definedName>
    <definedName name="SIS063_F_Apsauginiaiird1Geriamojovande1">'[1]Forma 10'!$X$125</definedName>
    <definedName name="SIS063_F_Apsauginiaiird1Konkurencinesi1">'[1]Forma 10'!$AA$125</definedName>
    <definedName name="SIS063_F_Apsauginiaiird1Paslaugaproduk8">'[1]Forma 10'!$Y$125</definedName>
    <definedName name="SIS063_F_Apsauginiaiird1Paslaugaproduk9">'[1]Forma 10'!$AB$125</definedName>
    <definedName name="SIS063_F_Atliekinessilu1Geriamojovande1">'[1]Forma 10'!$X$20</definedName>
    <definedName name="SIS063_F_Atliekinessilu1Konkurencinesi1">'[1]Forma 10'!$AA$20</definedName>
    <definedName name="SIS063_F_Atliekinessilu1Paslaugaproduk8">'[1]Forma 10'!$Y$20</definedName>
    <definedName name="SIS063_F_Atliekinessilu1Paslaugaproduk9">'[1]Forma 10'!$AB$20</definedName>
    <definedName name="SIS063_F_Atsiskaitomuju1Geriamojovande1">'[1]Forma 10'!$X$103</definedName>
    <definedName name="SIS063_F_Atsiskaitomuju1Konkurencinesi1">'[1]Forma 10'!$AA$103</definedName>
    <definedName name="SIS063_F_Atsiskaitomuju1Paslaugaproduk8">'[1]Forma 10'!$Y$103</definedName>
    <definedName name="SIS063_F_Atsiskaitomuju1Paslaugaproduk9">'[1]Forma 10'!$AB$103</definedName>
    <definedName name="SIS063_F_Auditofinansin1Geriamojovande1">'[1]Forma 10'!$X$176</definedName>
    <definedName name="SIS063_F_Auditofinansin1Konkurencinesi1">'[1]Forma 10'!$AA$176</definedName>
    <definedName name="SIS063_F_Auditofinansin1Paslaugaproduk8">'[1]Forma 10'!$Y$176</definedName>
    <definedName name="SIS063_F_Auditofinansin1Paslaugaproduk9">'[1]Forma 10'!$AB$176</definedName>
    <definedName name="SIS063_F_Auditokitosana1Geriamojovande1">'[1]Forma 10'!$X$178</definedName>
    <definedName name="SIS063_F_Auditokitosana1Konkurencinesi1">'[1]Forma 10'!$AA$178</definedName>
    <definedName name="SIS063_F_Auditokitosana1Paslaugaproduk8">'[1]Forma 10'!$Y$178</definedName>
    <definedName name="SIS063_F_Auditokitosana1Paslaugaproduk9">'[1]Forma 10'!$AB$178</definedName>
    <definedName name="SIS063_F_Auditoreguliuo1Geriamojovande1">'[1]Forma 10'!$X$177</definedName>
    <definedName name="SIS063_F_Auditoreguliuo1Konkurencinesi1">'[1]Forma 10'!$AA$177</definedName>
    <definedName name="SIS063_F_Auditoreguliuo1Paslaugaproduk8">'[1]Forma 10'!$Y$177</definedName>
    <definedName name="SIS063_F_Auditoreguliuo1Paslaugaproduk9">'[1]Forma 10'!$AB$177</definedName>
    <definedName name="SIS063_F_Balansavimoauk1Geriamojovande1">'[1]Forma 10'!$X$21</definedName>
    <definedName name="SIS063_F_Balansavimoauk1Konkurencinesi1">'[1]Forma 10'!$AA$21</definedName>
    <definedName name="SIS063_F_Balansavimoauk1Paslaugaproduk8">'[1]Forma 10'!$Y$21</definedName>
    <definedName name="SIS063_F_Balansavimoauk1Paslaugaproduk9">'[1]Forma 10'!$AB$21</definedName>
    <definedName name="SIS063_F_Balansavimosan1Geriamojovande1">'[1]Forma 10'!$X$23</definedName>
    <definedName name="SIS063_F_Balansavimosan1Konkurencinesi1">'[1]Forma 10'!$AA$23</definedName>
    <definedName name="SIS063_F_Balansavimosan1Paslaugaproduk8">'[1]Forma 10'!$Y$23</definedName>
    <definedName name="SIS063_F_Balansavimosan1Paslaugaproduk9">'[1]Forma 10'!$AB$23</definedName>
    <definedName name="SIS063_F_Bankopaslauguk1Geriamojovande1">'[1]Forma 10'!$X$141</definedName>
    <definedName name="SIS063_F_Bankopaslauguk1Konkurencinesi1">'[1]Forma 10'!$AA$141</definedName>
    <definedName name="SIS063_F_Bankopaslauguk1Paslaugaproduk8">'[1]Forma 10'!$Y$141</definedName>
    <definedName name="SIS063_F_Bankopaslauguk1Paslaugaproduk9">'[1]Forma 10'!$AB$141</definedName>
    <definedName name="SIS063_F_Beviltiskossko1Geriamojovande1">'[1]Forma 10'!$X$184</definedName>
    <definedName name="SIS063_F_Beviltiskossko1Konkurencinesi1">'[1]Forma 10'!$AA$184</definedName>
    <definedName name="SIS063_F_Beviltiskossko1Paslaugaproduk8">'[1]Forma 10'!$Y$184</definedName>
    <definedName name="SIS063_F_Beviltiskossko1Paslaugaproduk9">'[1]Forma 10'!$AB$184</definedName>
    <definedName name="SIS063_F_Biodujuisigiji1Geriamojovande1">'[1]Forma 10'!$X$38</definedName>
    <definedName name="SIS063_F_Biodujuisigiji1Konkurencinesi1">'[1]Forma 10'!$AA$38</definedName>
    <definedName name="SIS063_F_Biodujuisigiji1Paslaugaproduk8">'[1]Forma 10'!$Y$38</definedName>
    <definedName name="SIS063_F_Biodujuisigiji1Paslaugaproduk9">'[1]Forma 10'!$AB$38</definedName>
    <definedName name="SIS063_F_Cheminesmedzia1Geriamojovande1">'[1]Forma 10'!$X$61</definedName>
    <definedName name="SIS063_F_Cheminesmedzia1Konkurencinesi1">'[1]Forma 10'!$AA$61</definedName>
    <definedName name="SIS063_F_Cheminesmedzia1Paslaugaproduk8">'[1]Forma 10'!$Y$61</definedName>
    <definedName name="SIS063_F_Cheminesmedzia1Paslaugaproduk9">'[1]Forma 10'!$AB$61</definedName>
    <definedName name="SIS063_F_Darbdavioimoku1Geriamojovande1">'[1]Forma 10'!$X$121</definedName>
    <definedName name="SIS063_F_Darbdavioimoku1Konkurencinesi1">'[1]Forma 10'!$AA$121</definedName>
    <definedName name="SIS063_F_Darbdavioimoku1Paslaugaproduk8">'[1]Forma 10'!$Y$121</definedName>
    <definedName name="SIS063_F_Darbdavioimoku1Paslaugaproduk9">'[1]Forma 10'!$AB$121</definedName>
    <definedName name="SIS063_F_Darbouzmokesci1Geriamojovande1">'[1]Forma 10'!$X$120</definedName>
    <definedName name="SIS063_F_Darbouzmokesci1Konkurencinesi1">'[1]Forma 10'!$AA$120</definedName>
    <definedName name="SIS063_F_Darbouzmokesci1Paslaugaproduk8">'[1]Forma 10'!$Y$120</definedName>
    <definedName name="SIS063_F_Darbouzmokesci1Paslaugaproduk9">'[1]Forma 10'!$AB$120</definedName>
    <definedName name="SIS063_F_Dyzelinoisigij1Geriamojovande1">'[1]Forma 10'!$X$35</definedName>
    <definedName name="SIS063_F_Dyzelinoisigij1Konkurencinesi1">'[1]Forma 10'!$AA$35</definedName>
    <definedName name="SIS063_F_Dyzelinoisigij1Paslaugaproduk8">'[1]Forma 10'!$Y$35</definedName>
    <definedName name="SIS063_F_Dyzelinoisigij1Paslaugaproduk9">'[1]Forma 10'!$AB$35</definedName>
    <definedName name="SIS063_F_Durpiuisigijim1Geriamojovande1">'[1]Forma 10'!$X$40</definedName>
    <definedName name="SIS063_F_Durpiuisigijim1Konkurencinesi1">'[1]Forma 10'!$AA$40</definedName>
    <definedName name="SIS063_F_Durpiuisigijim1Paslaugaproduk8">'[1]Forma 10'!$Y$40</definedName>
    <definedName name="SIS063_F_Durpiuisigijim1Paslaugaproduk9">'[1]Forma 10'!$AB$40</definedName>
    <definedName name="SIS063_F_Elektrosenergi4Geriamojovande1">'[1]Forma 10'!$X$46</definedName>
    <definedName name="SIS063_F_Elektrosenergi4Konkurencinesi1">'[1]Forma 10'!$AA$46</definedName>
    <definedName name="SIS063_F_Elektrosenergi4Paslaugaproduk8">'[1]Forma 10'!$Y$46</definedName>
    <definedName name="SIS063_F_Elektrosenergi4Paslaugaproduk9">'[1]Forma 10'!$AB$46</definedName>
    <definedName name="SIS063_F_Energetikosist1Geriamojovande1">'[1]Forma 10'!$X$138</definedName>
    <definedName name="SIS063_F_Energetikosist1Konkurencinesi1">'[1]Forma 10'!$AA$138</definedName>
    <definedName name="SIS063_F_Energetikosist1Paslaugaproduk8">'[1]Forma 10'!$Y$138</definedName>
    <definedName name="SIS063_F_Energetikosist1Paslaugaproduk9">'[1]Forma 10'!$AB$138</definedName>
    <definedName name="SIS063_F_Energijosistek1Geriamojovande1">'[1]Forma 10'!$X$58</definedName>
    <definedName name="SIS063_F_Energijosistek1Konkurencinesi1">'[1]Forma 10'!$AA$58</definedName>
    <definedName name="SIS063_F_Energijosistek1Paslaugaproduk8">'[1]Forma 10'!$Y$58</definedName>
    <definedName name="SIS063_F_Energijosistek1Paslaugaproduk9">'[1]Forma 10'!$AB$58</definedName>
    <definedName name="SIS063_F_Gamybinespaski1Geriamojovande1">'[1]Forma 10'!$X$70</definedName>
    <definedName name="SIS063_F_Gamybinespaski1Konkurencinesi1">'[1]Forma 10'!$AA$70</definedName>
    <definedName name="SIS063_F_Gamybinespaski1Paslaugaproduk8">'[1]Forma 10'!$Y$70</definedName>
    <definedName name="SIS063_F_Gamybinespaski1Paslaugaproduk9">'[1]Forma 10'!$AB$70</definedName>
    <definedName name="SIS063_F_Gamybinespaski2Geriamojovande1">'[1]Forma 10'!$X$71</definedName>
    <definedName name="SIS063_F_Gamybinespaski2Konkurencinesi1">'[1]Forma 10'!$AA$71</definedName>
    <definedName name="SIS063_F_Gamybinespaski2Paslaugaproduk8">'[1]Forma 10'!$Y$71</definedName>
    <definedName name="SIS063_F_Gamybinespaski2Paslaugaproduk9">'[1]Forma 10'!$AB$71</definedName>
    <definedName name="SIS063_F_Gamybinespaski3Geriamojovande1">'[1]Forma 10'!$X$72</definedName>
    <definedName name="SIS063_F_Gamybinespaski3Konkurencinesi1">'[1]Forma 10'!$AA$72</definedName>
    <definedName name="SIS063_F_Gamybinespaski3Paslaugaproduk8">'[1]Forma 10'!$Y$72</definedName>
    <definedName name="SIS063_F_Gamybinespaski3Paslaugaproduk9">'[1]Forma 10'!$AB$72</definedName>
    <definedName name="SIS063_F_Gamybosobjektu1Geriamojovande1">'[1]Forma 10'!$X$93</definedName>
    <definedName name="SIS063_F_Gamybosobjektu1Konkurencinesi1">'[1]Forma 10'!$AA$93</definedName>
    <definedName name="SIS063_F_Gamybosobjektu1Paslaugaproduk8">'[1]Forma 10'!$Y$93</definedName>
    <definedName name="SIS063_F_Gamybosobjektu1Paslaugaproduk9">'[1]Forma 10'!$AB$93</definedName>
    <definedName name="SIS063_F_Gamtiniudujubi1Geriamojovande1">'[1]Forma 10'!$X$59</definedName>
    <definedName name="SIS063_F_Gamtiniudujubi1Konkurencinesi1">'[1]Forma 10'!$AA$59</definedName>
    <definedName name="SIS063_F_Gamtiniudujubi1Paslaugaproduk8">'[1]Forma 10'!$Y$59</definedName>
    <definedName name="SIS063_F_Gamtiniudujubi1Paslaugaproduk9">'[1]Forma 10'!$AB$59</definedName>
    <definedName name="SIS063_F_Gamtiniudujuis1Geriamojovande1">'[1]Forma 10'!$X$26</definedName>
    <definedName name="SIS063_F_Gamtiniudujuis1Konkurencinesi1">'[1]Forma 10'!$AA$26</definedName>
    <definedName name="SIS063_F_Gamtiniudujuis1Paslaugaproduk8">'[1]Forma 10'!$Y$26</definedName>
    <definedName name="SIS063_F_Gamtiniudujuis1Paslaugaproduk9">'[1]Forma 10'!$AB$26</definedName>
    <definedName name="SIS063_F_Investiciniotu1Geriamojovande1">'[1]Forma 10'!$X$90</definedName>
    <definedName name="SIS063_F_Investiciniotu1Konkurencinesi1">'[1]Forma 10'!$AA$90</definedName>
    <definedName name="SIS063_F_Investiciniotu1Paslaugaproduk8">'[1]Forma 10'!$Y$90</definedName>
    <definedName name="SIS063_F_Investiciniotu1Paslaugaproduk9">'[1]Forma 10'!$AB$90</definedName>
    <definedName name="SIS063_F_Iseitinespasal1Geriamojovande1">'[1]Forma 10'!$X$124</definedName>
    <definedName name="SIS063_F_Iseitinespasal1Konkurencinesi1">'[1]Forma 10'!$AA$124</definedName>
    <definedName name="SIS063_F_Iseitinespasal1Paslaugaproduk8">'[1]Forma 10'!$Y$124</definedName>
    <definedName name="SIS063_F_Iseitinespasal1Paslaugaproduk9">'[1]Forma 10'!$AB$124</definedName>
    <definedName name="SIS063_F_Itaptarnavimos1Geriamojovande1">'[1]Forma 10'!$X$96</definedName>
    <definedName name="SIS063_F_Itaptarnavimos1Konkurencinesi1">'[1]Forma 10'!$AA$96</definedName>
    <definedName name="SIS063_F_Itaptarnavimos1Paslaugaproduk8">'[1]Forma 10'!$Y$96</definedName>
    <definedName name="SIS063_F_Itaptarnavimos1Paslaugaproduk9">'[1]Forma 10'!$AB$96</definedName>
    <definedName name="SIS063_F_Kanceliariness1Geriamojovande1">'[1]Forma 10'!$X$151</definedName>
    <definedName name="SIS063_F_Kanceliariness1Konkurencinesi1">'[1]Forma 10'!$AA$151</definedName>
    <definedName name="SIS063_F_Kanceliariness1Paslaugaproduk8">'[1]Forma 10'!$Y$151</definedName>
    <definedName name="SIS063_F_Kanceliariness1Paslaugaproduk9">'[1]Forma 10'!$AB$151</definedName>
    <definedName name="SIS063_F_Kelionessanaud1Geriamojovande1">'[1]Forma 10'!$X$126</definedName>
    <definedName name="SIS063_F_Kelionessanaud1Konkurencinesi1">'[1]Forma 10'!$AA$126</definedName>
    <definedName name="SIS063_F_Kelionessanaud1Paslaugaproduk8">'[1]Forma 10'!$Y$126</definedName>
    <definedName name="SIS063_F_Kelionessanaud1Paslaugaproduk9">'[1]Forma 10'!$AB$126</definedName>
    <definedName name="SIS063_F_Kitoilgalaikio1Geriamojovande1">'[1]Forma 10'!$X$91</definedName>
    <definedName name="SIS063_F_Kitoilgalaikio1Konkurencinesi1">'[1]Forma 10'!$AA$91</definedName>
    <definedName name="SIS063_F_Kitoilgalaikio1Paslaugaproduk8">'[1]Forma 10'!$Y$91</definedName>
    <definedName name="SIS063_F_Kitoilgalaikio1Paslaugaproduk9">'[1]Forma 10'!$AB$91</definedName>
    <definedName name="SIS063_F_Kitomaterialau1Geriamojovande1">'[1]Forma 10'!$X$89</definedName>
    <definedName name="SIS063_F_Kitomaterialau1Konkurencinesi1">'[1]Forma 10'!$AA$89</definedName>
    <definedName name="SIS063_F_Kitomaterialau1Paslaugaproduk8">'[1]Forma 10'!$Y$89</definedName>
    <definedName name="SIS063_F_Kitomaterialau1Paslaugaproduk9">'[1]Forma 10'!$AB$89</definedName>
    <definedName name="SIS063_F_Kitonematerial1Geriamojovande1">'[1]Forma 10'!$X$69</definedName>
    <definedName name="SIS063_F_Kitonematerial1Konkurencinesi1">'[1]Forma 10'!$AA$69</definedName>
    <definedName name="SIS063_F_Kitonematerial1Paslaugaproduk8">'[1]Forma 10'!$Y$69</definedName>
    <definedName name="SIS063_F_Kitonematerial1Paslaugaproduk9">'[1]Forma 10'!$AB$69</definedName>
    <definedName name="SIS063_F_Kitosadministr1Geriamojovande1">'[1]Forma 10'!$X$156</definedName>
    <definedName name="SIS063_F_Kitosadministr1Konkurencinesi1">'[1]Forma 10'!$AA$156</definedName>
    <definedName name="SIS063_F_Kitosadministr1Paslaugaproduk8">'[1]Forma 10'!$Y$156</definedName>
    <definedName name="SIS063_F_Kitosadministr1Paslaugaproduk9">'[1]Forma 10'!$AB$156</definedName>
    <definedName name="SIS063_F_Kitosadministr2Geriamojovande1">'[1]Forma 10'!$X$157</definedName>
    <definedName name="SIS063_F_Kitosadministr2Konkurencinesi1">'[1]Forma 10'!$AA$157</definedName>
    <definedName name="SIS063_F_Kitosadministr2Paslaugaproduk8">'[1]Forma 10'!$Y$157</definedName>
    <definedName name="SIS063_F_Kitosadministr2Paslaugaproduk9">'[1]Forma 10'!$AB$157</definedName>
    <definedName name="SIS063_F_Kitosadministr3Geriamojovande1">'[1]Forma 10'!$X$158</definedName>
    <definedName name="SIS063_F_Kitosadministr3Konkurencinesi1">'[1]Forma 10'!$AA$158</definedName>
    <definedName name="SIS063_F_Kitosadministr3Paslaugaproduk8">'[1]Forma 10'!$Y$158</definedName>
    <definedName name="SIS063_F_Kitosadministr3Paslaugaproduk9">'[1]Forma 10'!$AB$158</definedName>
    <definedName name="SIS063_F_Kitoseinamojor1Geriamojovande1">'[1]Forma 10'!$X$114</definedName>
    <definedName name="SIS063_F_Kitoseinamojor1Konkurencinesi1">'[1]Forma 10'!$AA$114</definedName>
    <definedName name="SIS063_F_Kitoseinamojor1Paslaugaproduk8">'[1]Forma 10'!$Y$114</definedName>
    <definedName name="SIS063_F_Kitoseinamojor1Paslaugaproduk9">'[1]Forma 10'!$AB$114</definedName>
    <definedName name="SIS063_F_Kitoseinamojor2Geriamojovande1">'[1]Forma 10'!$X$115</definedName>
    <definedName name="SIS063_F_Kitoseinamojor2Konkurencinesi1">'[1]Forma 10'!$AA$115</definedName>
    <definedName name="SIS063_F_Kitoseinamojor2Paslaugaproduk8">'[1]Forma 10'!$Y$115</definedName>
    <definedName name="SIS063_F_Kitoseinamojor2Paslaugaproduk9">'[1]Forma 10'!$AB$115</definedName>
    <definedName name="SIS063_F_Kitoseinamojor3Geriamojovande1">'[1]Forma 10'!$X$116</definedName>
    <definedName name="SIS063_F_Kitoseinamojor3Konkurencinesi1">'[1]Forma 10'!$AA$116</definedName>
    <definedName name="SIS063_F_Kitoseinamojor3Paslaugaproduk8">'[1]Forma 10'!$Y$116</definedName>
    <definedName name="SIS063_F_Kitoseinamojor3Paslaugaproduk9">'[1]Forma 10'!$AB$116</definedName>
    <definedName name="SIS063_F_Kitoseinamojor4Geriamojovande1">'[1]Forma 10'!$X$117</definedName>
    <definedName name="SIS063_F_Kitoseinamojor4Konkurencinesi1">'[1]Forma 10'!$AA$117</definedName>
    <definedName name="SIS063_F_Kitoseinamojor4Paslaugaproduk8">'[1]Forma 10'!$Y$117</definedName>
    <definedName name="SIS063_F_Kitoseinamojor4Paslaugaproduk9">'[1]Forma 10'!$AB$117</definedName>
    <definedName name="SIS063_F_Kitoseinamojor5Geriamojovande1">'[1]Forma 10'!$X$118</definedName>
    <definedName name="SIS063_F_Kitoseinamojor5Konkurencinesi1">'[1]Forma 10'!$AA$118</definedName>
    <definedName name="SIS063_F_Kitoseinamojor5Paslaugaproduk8">'[1]Forma 10'!$Y$118</definedName>
    <definedName name="SIS063_F_Kitoseinamojor5Paslaugaproduk9">'[1]Forma 10'!$AB$118</definedName>
    <definedName name="SIS063_F_Kitosfinansine1Geriamojovande1">'[1]Forma 10'!$X$144</definedName>
    <definedName name="SIS063_F_Kitosfinansine1Konkurencinesi1">'[1]Forma 10'!$AA$144</definedName>
    <definedName name="SIS063_F_Kitosfinansine1Paslaugaproduk8">'[1]Forma 10'!$Y$144</definedName>
    <definedName name="SIS063_F_Kitosfinansine1Paslaugaproduk9">'[1]Forma 10'!$AB$144</definedName>
    <definedName name="SIS063_F_Kitosfinansine2Geriamojovande1">'[1]Forma 10'!$X$145</definedName>
    <definedName name="SIS063_F_Kitosfinansine2Konkurencinesi1">'[1]Forma 10'!$AA$145</definedName>
    <definedName name="SIS063_F_Kitosfinansine2Paslaugaproduk8">'[1]Forma 10'!$Y$145</definedName>
    <definedName name="SIS063_F_Kitosfinansine2Paslaugaproduk9">'[1]Forma 10'!$AB$145</definedName>
    <definedName name="SIS063_F_Kitosirangospr1Geriamojovande1">'[1]Forma 10'!$X$79</definedName>
    <definedName name="SIS063_F_Kitosirangospr1Konkurencinesi1">'[1]Forma 10'!$AA$79</definedName>
    <definedName name="SIS063_F_Kitosirangospr1Paslaugaproduk8">'[1]Forma 10'!$Y$79</definedName>
    <definedName name="SIS063_F_Kitosirangospr1Paslaugaproduk9">'[1]Forma 10'!$AB$79</definedName>
    <definedName name="SIS063_F_Kitosirangospr2Geriamojovande1">'[1]Forma 10'!$X$85</definedName>
    <definedName name="SIS063_F_Kitosirangospr2Konkurencinesi1">'[1]Forma 10'!$AA$85</definedName>
    <definedName name="SIS063_F_Kitosirangospr2Paslaugaproduk8">'[1]Forma 10'!$Y$85</definedName>
    <definedName name="SIS063_F_Kitosirangospr2Paslaugaproduk9">'[1]Forma 10'!$AB$85</definedName>
    <definedName name="SIS063_F_Kitosirangospr3Geriamojovande1">'[1]Forma 10'!$X$86</definedName>
    <definedName name="SIS063_F_Kitosirangospr3Konkurencinesi1">'[1]Forma 10'!$AA$86</definedName>
    <definedName name="SIS063_F_Kitosirangospr3Paslaugaproduk8">'[1]Forma 10'!$Y$86</definedName>
    <definedName name="SIS063_F_Kitosirangospr3Paslaugaproduk9">'[1]Forma 10'!$AB$86</definedName>
    <definedName name="SIS063_F_Kitosirangospr4Geriamojovande1">'[1]Forma 10'!$X$87</definedName>
    <definedName name="SIS063_F_Kitosirangospr4Konkurencinesi1">'[1]Forma 10'!$AA$87</definedName>
    <definedName name="SIS063_F_Kitosirangospr4Paslaugaproduk8">'[1]Forma 10'!$Y$87</definedName>
    <definedName name="SIS063_F_Kitosirangospr4Paslaugaproduk9">'[1]Forma 10'!$AB$87</definedName>
    <definedName name="SIS063_F_Kitoskintamosi2Geriamojovande1">'[1]Forma 10'!$X$62</definedName>
    <definedName name="SIS063_F_Kitoskintamosi2Konkurencinesi1">'[1]Forma 10'!$AA$62</definedName>
    <definedName name="SIS063_F_Kitoskintamosi2Paslaugaproduk8">'[1]Forma 10'!$Y$62</definedName>
    <definedName name="SIS063_F_Kitoskintamosi2Paslaugaproduk9">'[1]Forma 10'!$AB$62</definedName>
    <definedName name="SIS063_F_Kitoskintamosi3Geriamojovande1">'[1]Forma 10'!$X$63</definedName>
    <definedName name="SIS063_F_Kitoskintamosi3Konkurencinesi1">'[1]Forma 10'!$AA$63</definedName>
    <definedName name="SIS063_F_Kitoskintamosi3Paslaugaproduk8">'[1]Forma 10'!$Y$63</definedName>
    <definedName name="SIS063_F_Kitoskintamosi3Paslaugaproduk9">'[1]Forma 10'!$AB$63</definedName>
    <definedName name="SIS063_F_Kitoskurorusie1Geriamojovande1">'[1]Forma 10'!$X$41</definedName>
    <definedName name="SIS063_F_Kitoskurorusie1Konkurencinesi1">'[1]Forma 10'!$AA$41</definedName>
    <definedName name="SIS063_F_Kitoskurorusie1Paslaugaproduk8">'[1]Forma 10'!$Y$41</definedName>
    <definedName name="SIS063_F_Kitoskurorusie1Paslaugaproduk9">'[1]Forma 10'!$AB$41</definedName>
    <definedName name="SIS063_F_Kitoskurorusie2Geriamojovande1">'[1]Forma 10'!$X$42</definedName>
    <definedName name="SIS063_F_Kitoskurorusie2Konkurencinesi1">'[1]Forma 10'!$AA$42</definedName>
    <definedName name="SIS063_F_Kitoskurorusie2Paslaugaproduk8">'[1]Forma 10'!$Y$42</definedName>
    <definedName name="SIS063_F_Kitoskurorusie2Paslaugaproduk9">'[1]Forma 10'!$AB$42</definedName>
    <definedName name="SIS063_F_Kitoskurorusie3Geriamojovande1">'[1]Forma 10'!$X$43</definedName>
    <definedName name="SIS063_F_Kitoskurorusie3Konkurencinesi1">'[1]Forma 10'!$AA$43</definedName>
    <definedName name="SIS063_F_Kitoskurorusie3Paslaugaproduk8">'[1]Forma 10'!$Y$43</definedName>
    <definedName name="SIS063_F_Kitoskurorusie3Paslaugaproduk9">'[1]Forma 10'!$AB$43</definedName>
    <definedName name="SIS063_F_Kitospaskirtie1Geriamojovande1">'[1]Forma 10'!$X$73</definedName>
    <definedName name="SIS063_F_Kitospaskirtie1Konkurencinesi1">'[1]Forma 10'!$AA$73</definedName>
    <definedName name="SIS063_F_Kitospaskirtie1Paslaugaproduk8">'[1]Forma 10'!$Y$73</definedName>
    <definedName name="SIS063_F_Kitospaskirtie1Paslaugaproduk9">'[1]Forma 10'!$AB$73</definedName>
    <definedName name="SIS063_F_Kitospaskirtie2Geriamojovande1">'[1]Forma 10'!$X$74</definedName>
    <definedName name="SIS063_F_Kitospaskirtie2Konkurencinesi1">'[1]Forma 10'!$AA$74</definedName>
    <definedName name="SIS063_F_Kitospaskirtie2Paslaugaproduk8">'[1]Forma 10'!$Y$74</definedName>
    <definedName name="SIS063_F_Kitospaskirtie2Paslaugaproduk9">'[1]Forma 10'!$AB$74</definedName>
    <definedName name="SIS063_F_Kitospaskirtie3Geriamojovande1">'[1]Forma 10'!$X$75</definedName>
    <definedName name="SIS063_F_Kitospaskirtie3Konkurencinesi1">'[1]Forma 10'!$AA$75</definedName>
    <definedName name="SIS063_F_Kitospaskirtie3Paslaugaproduk8">'[1]Forma 10'!$Y$75</definedName>
    <definedName name="SIS063_F_Kitospaskirtie3Paslaugaproduk9">'[1]Forma 10'!$AB$75</definedName>
    <definedName name="SIS063_F_Kitospaskirtie4Geriamojovande1">'[1]Forma 10'!$X$76</definedName>
    <definedName name="SIS063_F_Kitospaskirtie4Konkurencinesi1">'[1]Forma 10'!$AA$76</definedName>
    <definedName name="SIS063_F_Kitospaskirtie4Paslaugaproduk8">'[1]Forma 10'!$Y$76</definedName>
    <definedName name="SIS063_F_Kitospaskirtie4Paslaugaproduk9">'[1]Forma 10'!$AB$76</definedName>
    <definedName name="SIS063_F_Kitospaskirtie5Geriamojovande1">'[1]Forma 10'!$X$78</definedName>
    <definedName name="SIS063_F_Kitospaskirtie5Konkurencinesi1">'[1]Forma 10'!$AA$78</definedName>
    <definedName name="SIS063_F_Kitospaskirtie5Paslaugaproduk8">'[1]Forma 10'!$Y$78</definedName>
    <definedName name="SIS063_F_Kitospaskirtie5Paslaugaproduk9">'[1]Forma 10'!$AB$78</definedName>
    <definedName name="SIS063_F_Kitospastovios2Geriamojovande1">'[1]Forma 10'!$X$188</definedName>
    <definedName name="SIS063_F_Kitospastovios2Konkurencinesi1">'[1]Forma 10'!$AA$188</definedName>
    <definedName name="SIS063_F_Kitospastovios2Paslaugaproduk8">'[1]Forma 10'!$Y$188</definedName>
    <definedName name="SIS063_F_Kitospastovios2Paslaugaproduk9">'[1]Forma 10'!$AB$188</definedName>
    <definedName name="SIS063_F_Kitospastovios3Geriamojovande1">'[1]Forma 10'!$X$189</definedName>
    <definedName name="SIS063_F_Kitospastovios3Konkurencinesi1">'[1]Forma 10'!$AA$189</definedName>
    <definedName name="SIS063_F_Kitospastovios3Paslaugaproduk8">'[1]Forma 10'!$Y$189</definedName>
    <definedName name="SIS063_F_Kitospastovios3Paslaugaproduk9">'[1]Forma 10'!$AB$189</definedName>
    <definedName name="SIS063_F_Kitosrinkodaro1Geriamojovande1">'[1]Forma 10'!$X$168</definedName>
    <definedName name="SIS063_F_Kitosrinkodaro1Konkurencinesi1">'[1]Forma 10'!$AA$168</definedName>
    <definedName name="SIS063_F_Kitosrinkodaro1Paslaugaproduk8">'[1]Forma 10'!$Y$168</definedName>
    <definedName name="SIS063_F_Kitosrinkodaro1Paslaugaproduk9">'[1]Forma 10'!$AB$168</definedName>
    <definedName name="SIS063_F_Kitosrinkodaro2Geriamojovande1">'[1]Forma 10'!$X$169</definedName>
    <definedName name="SIS063_F_Kitosrinkodaro2Konkurencinesi1">'[1]Forma 10'!$AA$169</definedName>
    <definedName name="SIS063_F_Kitosrinkodaro2Paslaugaproduk8">'[1]Forma 10'!$Y$169</definedName>
    <definedName name="SIS063_F_Kitosrinkodaro2Paslaugaproduk9">'[1]Forma 10'!$AB$169</definedName>
    <definedName name="SIS063_F_Kitossanaudoss1Geriamojovande1">'[1]Forma 10'!$X$24</definedName>
    <definedName name="SIS063_F_Kitossanaudoss1Konkurencinesi1">'[1]Forma 10'!$AA$24</definedName>
    <definedName name="SIS063_F_Kitossanaudoss1Paslaugaproduk8">'[1]Forma 10'!$Y$24</definedName>
    <definedName name="SIS063_F_Kitossanaudoss1Paslaugaproduk9">'[1]Forma 10'!$AB$24</definedName>
    <definedName name="SIS063_F_Kitossanaudoss2Geriamojovande1">'[1]Forma 10'!$X$44</definedName>
    <definedName name="SIS063_F_Kitossanaudoss2Konkurencinesi1">'[1]Forma 10'!$AA$44</definedName>
    <definedName name="SIS063_F_Kitossanaudoss2Paslaugaproduk8">'[1]Forma 10'!$Y$44</definedName>
    <definedName name="SIS063_F_Kitossanaudoss2Paslaugaproduk9">'[1]Forma 10'!$AB$44</definedName>
    <definedName name="SIS063_F_Kitossanaudoss3Geriamojovande1">'[1]Forma 10'!$X$47</definedName>
    <definedName name="SIS063_F_Kitossanaudoss3Konkurencinesi1">'[1]Forma 10'!$AA$47</definedName>
    <definedName name="SIS063_F_Kitossanaudoss3Paslaugaproduk8">'[1]Forma 10'!$Y$47</definedName>
    <definedName name="SIS063_F_Kitossanaudoss3Paslaugaproduk9">'[1]Forma 10'!$AB$47</definedName>
    <definedName name="SIS063_F_Kitossanaudoss4Geriamojovande1">'[1]Forma 10'!$X$51</definedName>
    <definedName name="SIS063_F_Kitossanaudoss4Konkurencinesi1">'[1]Forma 10'!$AA$51</definedName>
    <definedName name="SIS063_F_Kitossanaudoss4Paslaugaproduk8">'[1]Forma 10'!$Y$51</definedName>
    <definedName name="SIS063_F_Kitossanaudoss4Paslaugaproduk9">'[1]Forma 10'!$AB$51</definedName>
    <definedName name="SIS063_F_Kitossanaudoss5Geriamojovande1">'[1]Forma 10'!$X$54</definedName>
    <definedName name="SIS063_F_Kitossanaudoss5Konkurencinesi1">'[1]Forma 10'!$AA$54</definedName>
    <definedName name="SIS063_F_Kitossanaudoss5Paslaugaproduk8">'[1]Forma 10'!$Y$54</definedName>
    <definedName name="SIS063_F_Kitossanaudoss5Paslaugaproduk9">'[1]Forma 10'!$AB$54</definedName>
    <definedName name="SIS063_F_Kitossanaudoss6Geriamojovande1">'[1]Forma 10'!$X$55</definedName>
    <definedName name="SIS063_F_Kitossanaudoss6Konkurencinesi1">'[1]Forma 10'!$AA$55</definedName>
    <definedName name="SIS063_F_Kitossanaudoss6Paslaugaproduk8">'[1]Forma 10'!$Y$55</definedName>
    <definedName name="SIS063_F_Kitossanaudoss6Paslaugaproduk9">'[1]Forma 10'!$AB$55</definedName>
    <definedName name="SIS063_F_Kitossanaudoss7Geriamojovande1">'[1]Forma 10'!$X$172</definedName>
    <definedName name="SIS063_F_Kitossanaudoss7Konkurencinesi1">'[1]Forma 10'!$AA$172</definedName>
    <definedName name="SIS063_F_Kitossanaudoss7Paslaugaproduk8">'[1]Forma 10'!$Y$172</definedName>
    <definedName name="SIS063_F_Kitossanaudoss7Paslaugaproduk9">'[1]Forma 10'!$AB$172</definedName>
    <definedName name="SIS063_F_Kitossupersona1Geriamojovande1">'[1]Forma 10'!$X$128</definedName>
    <definedName name="SIS063_F_Kitossupersona1Konkurencinesi1">'[1]Forma 10'!$AA$128</definedName>
    <definedName name="SIS063_F_Kitossupersona1Paslaugaproduk8">'[1]Forma 10'!$Y$128</definedName>
    <definedName name="SIS063_F_Kitossupersona1Paslaugaproduk9">'[1]Forma 10'!$AB$128</definedName>
    <definedName name="SIS063_F_Kitossupersona2Geriamojovande1">'[1]Forma 10'!$X$129</definedName>
    <definedName name="SIS063_F_Kitossupersona2Konkurencinesi1">'[1]Forma 10'!$AA$129</definedName>
    <definedName name="SIS063_F_Kitossupersona2Paslaugaproduk8">'[1]Forma 10'!$Y$129</definedName>
    <definedName name="SIS063_F_Kitossupersona2Paslaugaproduk9">'[1]Forma 10'!$AB$129</definedName>
    <definedName name="SIS063_F_Kitossupersona3Geriamojovande1">'[1]Forma 10'!$X$130</definedName>
    <definedName name="SIS063_F_Kitossupersona3Konkurencinesi1">'[1]Forma 10'!$AA$130</definedName>
    <definedName name="SIS063_F_Kitossupersona3Paslaugaproduk8">'[1]Forma 10'!$Y$130</definedName>
    <definedName name="SIS063_F_Kitossupersona3Paslaugaproduk9">'[1]Forma 10'!$AB$130</definedName>
    <definedName name="SIS063_F_Kitossupersona4Geriamojovande1">'[1]Forma 10'!$X$131</definedName>
    <definedName name="SIS063_F_Kitossupersona4Konkurencinesi1">'[1]Forma 10'!$AA$131</definedName>
    <definedName name="SIS063_F_Kitossupersona4Paslaugaproduk8">'[1]Forma 10'!$Y$131</definedName>
    <definedName name="SIS063_F_Kitossupersona4Paslaugaproduk9">'[1]Forma 10'!$AB$131</definedName>
    <definedName name="SIS063_F_Kitumasinuirir1Geriamojovande1">'[1]Forma 10'!$X$84</definedName>
    <definedName name="SIS063_F_Kitumasinuirir1Konkurencinesi1">'[1]Forma 10'!$AA$84</definedName>
    <definedName name="SIS063_F_Kitumasinuirir1Paslaugaproduk8">'[1]Forma 10'!$Y$84</definedName>
    <definedName name="SIS063_F_Kitumasinuirir1Paslaugaproduk9">'[1]Forma 10'!$AB$84</definedName>
    <definedName name="SIS063_F_Kitumokesciuva1Geriamojovande1">'[1]Forma 10'!$X$139</definedName>
    <definedName name="SIS063_F_Kitumokesciuva1Konkurencinesi1">'[1]Forma 10'!$AA$139</definedName>
    <definedName name="SIS063_F_Kitumokesciuva1Paslaugaproduk8">'[1]Forma 10'!$Y$139</definedName>
    <definedName name="SIS063_F_Kitumokesciuva1Paslaugaproduk9">'[1]Forma 10'!$AB$139</definedName>
    <definedName name="SIS063_F_Kituobjektunur1Geriamojovande1">'[1]Forma 10'!$X$97</definedName>
    <definedName name="SIS063_F_Kituobjektunur1Konkurencinesi1">'[1]Forma 10'!$AA$97</definedName>
    <definedName name="SIS063_F_Kituobjektunur1Paslaugaproduk8">'[1]Forma 10'!$Y$97</definedName>
    <definedName name="SIS063_F_Kituobjektunur1Paslaugaproduk9">'[1]Forma 10'!$AB$97</definedName>
    <definedName name="SIS063_F_Komunalinespas1Geriamojovande1">'[1]Forma 10'!$X$154</definedName>
    <definedName name="SIS063_F_Komunalinespas1Konkurencinesi1">'[1]Forma 10'!$AA$154</definedName>
    <definedName name="SIS063_F_Komunalinespas1Paslaugaproduk8">'[1]Forma 10'!$Y$154</definedName>
    <definedName name="SIS063_F_Komunalinespas1Paslaugaproduk9">'[1]Forma 10'!$AB$154</definedName>
    <definedName name="SIS063_F_Komunaliniupas1Geriamojovande1">'[1]Forma 10'!$X$109</definedName>
    <definedName name="SIS063_F_Komunaliniupas1Konkurencinesi1">'[1]Forma 10'!$AA$109</definedName>
    <definedName name="SIS063_F_Komunaliniupas1Paslaugaproduk8">'[1]Forma 10'!$Y$109</definedName>
    <definedName name="SIS063_F_Komunaliniupas1Paslaugaproduk9">'[1]Forma 10'!$AB$109</definedName>
    <definedName name="SIS063_F_Konsultacinesp1Geriamojovande1">'[1]Forma 10'!$X$148</definedName>
    <definedName name="SIS063_F_Konsultacinesp1Konkurencinesi1">'[1]Forma 10'!$AA$148</definedName>
    <definedName name="SIS063_F_Konsultacinesp1Paslaugaproduk8">'[1]Forma 10'!$Y$148</definedName>
    <definedName name="SIS063_F_Konsultacinesp1Paslaugaproduk9">'[1]Forma 10'!$AB$148</definedName>
    <definedName name="SIS063_F_Labdaraparamas1Geriamojovande1">'[1]Forma 10'!$X$183</definedName>
    <definedName name="SIS063_F_Labdaraparamas1Konkurencinesi1">'[1]Forma 10'!$AA$183</definedName>
    <definedName name="SIS063_F_Labdaraparamas1Paslaugaproduk8">'[1]Forma 10'!$Y$183</definedName>
    <definedName name="SIS063_F_Labdaraparamas1Paslaugaproduk9">'[1]Forma 10'!$AB$183</definedName>
    <definedName name="SIS063_F_Laboratoriniai1Geriamojovande1">'[1]Forma 10'!$X$60</definedName>
    <definedName name="SIS063_F_Laboratoriniai1Konkurencinesi1">'[1]Forma 10'!$AA$60</definedName>
    <definedName name="SIS063_F_Laboratoriniai1Paslaugaproduk8">'[1]Forma 10'!$Y$60</definedName>
    <definedName name="SIS063_F_Laboratoriniai1Paslaugaproduk9">'[1]Forma 10'!$AB$60</definedName>
    <definedName name="SIS063_F_Likviduotonura1Geriamojovande1">'[1]Forma 10'!$X$181</definedName>
    <definedName name="SIS063_F_Likviduotonura1Konkurencinesi1">'[1]Forma 10'!$AA$181</definedName>
    <definedName name="SIS063_F_Likviduotonura1Paslaugaproduk8">'[1]Forma 10'!$Y$181</definedName>
    <definedName name="SIS063_F_Likviduotonura1Paslaugaproduk9">'[1]Forma 10'!$AB$181</definedName>
    <definedName name="SIS063_F_Malkinesmedien1Geriamojovande1">'[1]Forma 10'!$X$31</definedName>
    <definedName name="SIS063_F_Malkinesmedien1Konkurencinesi1">'[1]Forma 10'!$AA$31</definedName>
    <definedName name="SIS063_F_Malkinesmedien1Paslaugaproduk8">'[1]Forma 10'!$Y$31</definedName>
    <definedName name="SIS063_F_Malkinesmedien1Paslaugaproduk9">'[1]Forma 10'!$AB$31</definedName>
    <definedName name="SIS063_F_Masinuirirengi1Geriamojovande1">'[1]Forma 10'!$X$80</definedName>
    <definedName name="SIS063_F_Masinuirirengi1Konkurencinesi1">'[1]Forma 10'!$AA$80</definedName>
    <definedName name="SIS063_F_Masinuirirengi1Paslaugaproduk8">'[1]Forma 10'!$Y$80</definedName>
    <definedName name="SIS063_F_Masinuirirengi1Paslaugaproduk9">'[1]Forma 10'!$AB$80</definedName>
    <definedName name="SIS063_F_Masinuirirengi2Geriamojovande1">'[1]Forma 10'!$X$81</definedName>
    <definedName name="SIS063_F_Masinuirirengi2Konkurencinesi1">'[1]Forma 10'!$AA$81</definedName>
    <definedName name="SIS063_F_Masinuirirengi2Paslaugaproduk8">'[1]Forma 10'!$Y$81</definedName>
    <definedName name="SIS063_F_Masinuirirengi2Paslaugaproduk9">'[1]Forma 10'!$AB$81</definedName>
    <definedName name="SIS063_F_Masinuirirengi3Geriamojovande1">'[1]Forma 10'!$X$82</definedName>
    <definedName name="SIS063_F_Masinuirirengi3Konkurencinesi1">'[1]Forma 10'!$AA$82</definedName>
    <definedName name="SIS063_F_Masinuirirengi3Paslaugaproduk8">'[1]Forma 10'!$Y$82</definedName>
    <definedName name="SIS063_F_Masinuirirengi3Paslaugaproduk9">'[1]Forma 10'!$AB$82</definedName>
    <definedName name="SIS063_F_Masinuirirengi4Geriamojovande1">'[1]Forma 10'!$X$83</definedName>
    <definedName name="SIS063_F_Masinuirirengi4Konkurencinesi1">'[1]Forma 10'!$AA$83</definedName>
    <definedName name="SIS063_F_Masinuirirengi4Paslaugaproduk8">'[1]Forma 10'!$Y$83</definedName>
    <definedName name="SIS063_F_Masinuirirengi4Paslaugaproduk9">'[1]Forma 10'!$AB$83</definedName>
    <definedName name="SIS063_F_Mazavercioinve1Geriamojovande1">'[1]Forma 10'!$X$107</definedName>
    <definedName name="SIS063_F_Mazavercioinve1Konkurencinesi1">'[1]Forma 10'!$AA$107</definedName>
    <definedName name="SIS063_F_Mazavercioinve1Paslaugaproduk8">'[1]Forma 10'!$Y$107</definedName>
    <definedName name="SIS063_F_Mazavercioinve1Paslaugaproduk9">'[1]Forma 10'!$AB$107</definedName>
    <definedName name="SIS063_F_Mazutoisigijim1Geriamojovande1">'[1]Forma 10'!$X$27</definedName>
    <definedName name="SIS063_F_Mazutoisigijim1Konkurencinesi1">'[1]Forma 10'!$AA$27</definedName>
    <definedName name="SIS063_F_Mazutoisigijim1Paslaugaproduk8">'[1]Forma 10'!$Y$27</definedName>
    <definedName name="SIS063_F_Mazutoisigijim1Paslaugaproduk9">'[1]Forma 10'!$AB$27</definedName>
    <definedName name="SIS063_F_Medienosbriket1Geriamojovande1">'[1]Forma 10'!$X$32</definedName>
    <definedName name="SIS063_F_Medienosbriket1Konkurencinesi1">'[1]Forma 10'!$AA$32</definedName>
    <definedName name="SIS063_F_Medienosbriket1Paslaugaproduk8">'[1]Forma 10'!$Y$32</definedName>
    <definedName name="SIS063_F_Medienosbriket1Paslaugaproduk9">'[1]Forma 10'!$AB$32</definedName>
    <definedName name="SIS063_F_Medienosisigij1Geriamojovande1">'[1]Forma 10'!$X$28</definedName>
    <definedName name="SIS063_F_Medienosisigij1Konkurencinesi1">'[1]Forma 10'!$AA$28</definedName>
    <definedName name="SIS063_F_Medienosisigij1Paslaugaproduk8">'[1]Forma 10'!$Y$28</definedName>
    <definedName name="SIS063_F_Medienosisigij1Paslaugaproduk9">'[1]Forma 10'!$AB$28</definedName>
    <definedName name="SIS063_F_Medienoskilmes1Geriamojovande1">'[1]Forma 10'!$X$30</definedName>
    <definedName name="SIS063_F_Medienoskilmes1Konkurencinesi1">'[1]Forma 10'!$AA$30</definedName>
    <definedName name="SIS063_F_Medienoskilmes1Paslaugaproduk8">'[1]Forma 10'!$Y$30</definedName>
    <definedName name="SIS063_F_Medienoskilmes1Paslaugaproduk9">'[1]Forma 10'!$AB$30</definedName>
    <definedName name="SIS063_F_Medienosskiedr1Geriamojovande1">'[1]Forma 10'!$X$29</definedName>
    <definedName name="SIS063_F_Medienosskiedr1Konkurencinesi1">'[1]Forma 10'!$AA$29</definedName>
    <definedName name="SIS063_F_Medienosskiedr1Paslaugaproduk8">'[1]Forma 10'!$Y$29</definedName>
    <definedName name="SIS063_F_Medienosskiedr1Paslaugaproduk9">'[1]Forma 10'!$AB$29</definedName>
    <definedName name="SIS063_F_Medziaguzaliav1Geriamojovande1">'[1]Forma 10'!$X$98</definedName>
    <definedName name="SIS063_F_Medziaguzaliav1Konkurencinesi1">'[1]Forma 10'!$AA$98</definedName>
    <definedName name="SIS063_F_Medziaguzaliav1Paslaugaproduk8">'[1]Forma 10'!$Y$98</definedName>
    <definedName name="SIS063_F_Medziaguzaliav1Paslaugaproduk9">'[1]Forma 10'!$AB$98</definedName>
    <definedName name="SIS063_F_Medziaguzaliav2Geriamojovande1">'[1]Forma 10'!$X$99</definedName>
    <definedName name="SIS063_F_Medziaguzaliav2Konkurencinesi1">'[1]Forma 10'!$AA$99</definedName>
    <definedName name="SIS063_F_Medziaguzaliav2Paslaugaproduk8">'[1]Forma 10'!$Y$99</definedName>
    <definedName name="SIS063_F_Medziaguzaliav2Paslaugaproduk9">'[1]Forma 10'!$AB$99</definedName>
    <definedName name="SIS063_F_Medziaguzaliav3Geriamojovande1">'[1]Forma 10'!$X$100</definedName>
    <definedName name="SIS063_F_Medziaguzaliav3Konkurencinesi1">'[1]Forma 10'!$AA$100</definedName>
    <definedName name="SIS063_F_Medziaguzaliav3Paslaugaproduk8">'[1]Forma 10'!$Y$100</definedName>
    <definedName name="SIS063_F_Medziaguzaliav3Paslaugaproduk9">'[1]Forma 10'!$AB$100</definedName>
    <definedName name="SIS063_F_Medziaguzaliav4Geriamojovande1">'[1]Forma 10'!$X$101</definedName>
    <definedName name="SIS063_F_Medziaguzaliav4Konkurencinesi1">'[1]Forma 10'!$AA$101</definedName>
    <definedName name="SIS063_F_Medziaguzaliav4Paslaugaproduk8">'[1]Forma 10'!$Y$101</definedName>
    <definedName name="SIS063_F_Medziaguzaliav4Paslaugaproduk9">'[1]Forma 10'!$AB$101</definedName>
    <definedName name="SIS063_F_Medziaguzaliav5Geriamojovande1">'[1]Forma 10'!$X$102</definedName>
    <definedName name="SIS063_F_Medziaguzaliav5Konkurencinesi1">'[1]Forma 10'!$AA$102</definedName>
    <definedName name="SIS063_F_Medziaguzaliav5Paslaugaproduk8">'[1]Forma 10'!$Y$102</definedName>
    <definedName name="SIS063_F_Medziaguzaliav5Paslaugaproduk9">'[1]Forma 10'!$AB$102</definedName>
    <definedName name="SIS063_F_Medziogranuliu1Geriamojovande1">'[1]Forma 10'!$X$33</definedName>
    <definedName name="SIS063_F_Medziogranuliu1Konkurencinesi1">'[1]Forma 10'!$AA$33</definedName>
    <definedName name="SIS063_F_Medziogranuliu1Paslaugaproduk8">'[1]Forma 10'!$Y$33</definedName>
    <definedName name="SIS063_F_Medziogranuliu1Paslaugaproduk9">'[1]Forma 10'!$AB$33</definedName>
    <definedName name="SIS063_F_Metrologinespa1Geriamojovande1">'[1]Forma 10'!$X$113</definedName>
    <definedName name="SIS063_F_Metrologinespa1Konkurencinesi1">'[1]Forma 10'!$AA$113</definedName>
    <definedName name="SIS063_F_Metrologinespa1Paslaugaproduk8">'[1]Forma 10'!$Y$113</definedName>
    <definedName name="SIS063_F_Metrologinespa1Paslaugaproduk9">'[1]Forma 10'!$AB$113</definedName>
    <definedName name="SIS063_F_Mokymukvalifik1Geriamojovande1">'[1]Forma 10'!$X$123</definedName>
    <definedName name="SIS063_F_Mokymukvalifik1Konkurencinesi1">'[1]Forma 10'!$AA$123</definedName>
    <definedName name="SIS063_F_Mokymukvalifik1Paslaugaproduk8">'[1]Forma 10'!$Y$123</definedName>
    <definedName name="SIS063_F_Mokymukvalifik1Paslaugaproduk9">'[1]Forma 10'!$AB$123</definedName>
    <definedName name="SIS063_F_Muitinesireksp1Geriamojovande1">'[1]Forma 10'!$X$112</definedName>
    <definedName name="SIS063_F_Muitinesireksp1Konkurencinesi1">'[1]Forma 10'!$AA$112</definedName>
    <definedName name="SIS063_F_Muitinesireksp1Paslaugaproduk8">'[1]Forma 10'!$Y$112</definedName>
    <definedName name="SIS063_F_Muitinesireksp1Paslaugaproduk9">'[1]Forma 10'!$AB$112</definedName>
    <definedName name="SIS063_F_Narystesstojam1Geriamojovande1">'[1]Forma 10'!$X$180</definedName>
    <definedName name="SIS063_F_Narystesstojam1Konkurencinesi1">'[1]Forma 10'!$AA$180</definedName>
    <definedName name="SIS063_F_Narystesstojam1Paslaugaproduk8">'[1]Forma 10'!$Y$180</definedName>
    <definedName name="SIS063_F_Narystesstojam1Paslaugaproduk9">'[1]Forma 10'!$AB$180</definedName>
    <definedName name="SIS063_F_Neigiamosmoket1Geriamojovande1">'[1]Forma 10'!$X$143</definedName>
    <definedName name="SIS063_F_Neigiamosmoket1Konkurencinesi1">'[1]Forma 10'!$AA$143</definedName>
    <definedName name="SIS063_F_Neigiamosmoket1Paslaugaproduk8">'[1]Forma 10'!$Y$143</definedName>
    <definedName name="SIS063_F_Neigiamosmoket1Paslaugaproduk9">'[1]Forma 10'!$AB$143</definedName>
    <definedName name="SIS063_F_Nekilnojamotur1Geriamojovande1">'[1]Forma 10'!$X$134</definedName>
    <definedName name="SIS063_F_Nekilnojamotur1Konkurencinesi1">'[1]Forma 10'!$AA$134</definedName>
    <definedName name="SIS063_F_Nekilnojamotur1Paslaugaproduk8">'[1]Forma 10'!$Y$134</definedName>
    <definedName name="SIS063_F_Nekilnojamotur1Paslaugaproduk9">'[1]Forma 10'!$AB$134</definedName>
    <definedName name="SIS063_F_Nuotekutvarkym1Geriamojovande1">'[1]Forma 10'!$X$50</definedName>
    <definedName name="SIS063_F_Nuotekutvarkym1Konkurencinesi1">'[1]Forma 10'!$AA$50</definedName>
    <definedName name="SIS063_F_Nuotekutvarkym1Paslaugaproduk8">'[1]Forma 10'!$Y$50</definedName>
    <definedName name="SIS063_F_Nuotekutvarkym1Paslaugaproduk9">'[1]Forma 10'!$AB$50</definedName>
    <definedName name="SIS063_F_Nuotolinesduom1Geriamojovande1">'[1]Forma 10'!$X$104</definedName>
    <definedName name="SIS063_F_Nuotolinesduom1Konkurencinesi1">'[1]Forma 10'!$AA$104</definedName>
    <definedName name="SIS063_F_Nuotolinesduom1Paslaugaproduk8">'[1]Forma 10'!$Y$104</definedName>
    <definedName name="SIS063_F_Nuotolinesduom1Paslaugaproduk9">'[1]Forma 10'!$AB$104</definedName>
    <definedName name="SIS063_F_Nurasytuatsisk1Geriamojovande1">'[1]Forma 10'!$X$182</definedName>
    <definedName name="SIS063_F_Nurasytuatsisk1Konkurencinesi1">'[1]Forma 10'!$AA$182</definedName>
    <definedName name="SIS063_F_Nurasytuatsisk1Paslaugaproduk8">'[1]Forma 10'!$Y$182</definedName>
    <definedName name="SIS063_F_Nurasytuatsisk1Paslaugaproduk9">'[1]Forma 10'!$AB$182</definedName>
    <definedName name="SIS063_F_Orginventoriau1Geriamojovande1">'[1]Forma 10'!$X$152</definedName>
    <definedName name="SIS063_F_Orginventoriau1Konkurencinesi1">'[1]Forma 10'!$AA$152</definedName>
    <definedName name="SIS063_F_Orginventoriau1Paslaugaproduk8">'[1]Forma 10'!$Y$152</definedName>
    <definedName name="SIS063_F_Orginventoriau1Paslaugaproduk9">'[1]Forma 10'!$AB$152</definedName>
    <definedName name="SIS063_F_Pajegumuaukcio1Geriamojovande1">'[1]Forma 10'!$X$22</definedName>
    <definedName name="SIS063_F_Pajegumuaukcio1Konkurencinesi1">'[1]Forma 10'!$AA$22</definedName>
    <definedName name="SIS063_F_Pajegumuaukcio1Paslaugaproduk8">'[1]Forma 10'!$Y$22</definedName>
    <definedName name="SIS063_F_Pajegumuaukcio1Paslaugaproduk9">'[1]Forma 10'!$AB$22</definedName>
    <definedName name="SIS063_F_Palukanusanaud1Geriamojovande1">'[1]Forma 10'!$X$142</definedName>
    <definedName name="SIS063_F_Palukanusanaud1Konkurencinesi1">'[1]Forma 10'!$AA$142</definedName>
    <definedName name="SIS063_F_Palukanusanaud1Paslaugaproduk8">'[1]Forma 10'!$Y$142</definedName>
    <definedName name="SIS063_F_Palukanusanaud1Paslaugaproduk9">'[1]Forma 10'!$AB$142</definedName>
    <definedName name="SIS063_F_Papildomodarbu1Geriamojovande1">'[1]Forma 10'!$X$122</definedName>
    <definedName name="SIS063_F_Papildomodarbu1Konkurencinesi1">'[1]Forma 10'!$AA$122</definedName>
    <definedName name="SIS063_F_Papildomodarbu1Paslaugaproduk8">'[1]Forma 10'!$Y$122</definedName>
    <definedName name="SIS063_F_Papildomodarbu1Paslaugaproduk9">'[1]Forma 10'!$AB$122</definedName>
    <definedName name="SIS063_F_Pastopasiuntin1Geriamojovande1">'[1]Forma 10'!$X$150</definedName>
    <definedName name="SIS063_F_Pastopasiuntin1Konkurencinesi1">'[1]Forma 10'!$AA$150</definedName>
    <definedName name="SIS063_F_Pastopasiuntin1Paslaugaproduk8">'[1]Forma 10'!$Y$150</definedName>
    <definedName name="SIS063_F_Pastopasiuntin1Paslaugaproduk9">'[1]Forma 10'!$AB$150</definedName>
    <definedName name="SIS063_F_Patalpuneadmin1Geriamojovande1">'[1]Forma 10'!$X$105</definedName>
    <definedName name="SIS063_F_Patalpuneadmin1Konkurencinesi1">'[1]Forma 10'!$AA$105</definedName>
    <definedName name="SIS063_F_Patalpuneadmin1Paslaugaproduk8">'[1]Forma 10'!$Y$105</definedName>
    <definedName name="SIS063_F_Patalpuneadmin1Paslaugaproduk9">'[1]Forma 10'!$AB$105</definedName>
    <definedName name="SIS063_F_Patalpuprieziu1Geriamojovande1">'[1]Forma 10'!$X$155</definedName>
    <definedName name="SIS063_F_Patalpuprieziu1Konkurencinesi1">'[1]Forma 10'!$AA$155</definedName>
    <definedName name="SIS063_F_Patalpuprieziu1Paslaugaproduk8">'[1]Forma 10'!$Y$155</definedName>
    <definedName name="SIS063_F_Patalpuprieziu1Paslaugaproduk9">'[1]Forma 10'!$AB$155</definedName>
    <definedName name="SIS063_F_Patentulicenci1Geriamojovande1">'[1]Forma 10'!$X$67</definedName>
    <definedName name="SIS063_F_Patentulicenci1Konkurencinesi1">'[1]Forma 10'!$AA$67</definedName>
    <definedName name="SIS063_F_Patentulicenci1Paslaugaproduk8">'[1]Forma 10'!$Y$67</definedName>
    <definedName name="SIS063_F_Patentulicenci1Paslaugaproduk9">'[1]Forma 10'!$AB$67</definedName>
    <definedName name="SIS063_F_Pelenutvarkymo1Geriamojovande1">'[1]Forma 10'!$X$57</definedName>
    <definedName name="SIS063_F_Pelenutvarkymo1Konkurencinesi1">'[1]Forma 10'!$AA$57</definedName>
    <definedName name="SIS063_F_Pelenutvarkymo1Paslaugaproduk8">'[1]Forma 10'!$Y$57</definedName>
    <definedName name="SIS063_F_Pelenutvarkymo1Paslaugaproduk9">'[1]Forma 10'!$AB$57</definedName>
    <definedName name="SIS063_F_Pletrosdarbunu1Geriamojovande1">'[1]Forma 10'!$X$65</definedName>
    <definedName name="SIS063_F_Pletrosdarbunu1Konkurencinesi1">'[1]Forma 10'!$AA$65</definedName>
    <definedName name="SIS063_F_Pletrosdarbunu1Paslaugaproduk8">'[1]Forma 10'!$Y$65</definedName>
    <definedName name="SIS063_F_Pletrosdarbunu1Paslaugaproduk9">'[1]Forma 10'!$AB$65</definedName>
    <definedName name="SIS063_F_Prekeszenkloiv1Geriamojovande1">'[1]Forma 10'!$X$162</definedName>
    <definedName name="SIS063_F_Prekeszenkloiv1Konkurencinesi1">'[1]Forma 10'!$AA$162</definedName>
    <definedName name="SIS063_F_Prekeszenkloiv1Paslaugaproduk8">'[1]Forma 10'!$Y$162</definedName>
    <definedName name="SIS063_F_Prekeszenkloiv1Paslaugaproduk9">'[1]Forma 10'!$AB$162</definedName>
    <definedName name="SIS063_F_Prestizonuside1Geriamojovande1">'[1]Forma 10'!$X$66</definedName>
    <definedName name="SIS063_F_Prestizonuside1Konkurencinesi1">'[1]Forma 10'!$AA$66</definedName>
    <definedName name="SIS063_F_Prestizonuside1Paslaugaproduk8">'[1]Forma 10'!$Y$66</definedName>
    <definedName name="SIS063_F_Prestizonuside1Paslaugaproduk9">'[1]Forma 10'!$AB$66</definedName>
    <definedName name="SIS063_F_Priskaitytosba1Geriamojovande1">'[1]Forma 10'!$X$185</definedName>
    <definedName name="SIS063_F_Priskaitytosba1Konkurencinesi1">'[1]Forma 10'!$AA$185</definedName>
    <definedName name="SIS063_F_Priskaitytosba1Paslaugaproduk8">'[1]Forma 10'!$Y$185</definedName>
    <definedName name="SIS063_F_Priskaitytosba1Paslaugaproduk9">'[1]Forma 10'!$AB$185</definedName>
    <definedName name="SIS063_F_Privalomovarto1Geriamojovande1">'[1]Forma 10'!$X$161</definedName>
    <definedName name="SIS063_F_Privalomovarto1Konkurencinesi1">'[1]Forma 10'!$AA$161</definedName>
    <definedName name="SIS063_F_Privalomovarto1Paslaugaproduk8">'[1]Forma 10'!$Y$161</definedName>
    <definedName name="SIS063_F_Privalomovarto1Paslaugaproduk9">'[1]Forma 10'!$AB$161</definedName>
    <definedName name="SIS063_F_Profesineliter1Geriamojovande1">'[1]Forma 10'!$X$153</definedName>
    <definedName name="SIS063_F_Profesineliter1Konkurencinesi1">'[1]Forma 10'!$AA$153</definedName>
    <definedName name="SIS063_F_Profesineliter1Paslaugaproduk8">'[1]Forma 10'!$Y$153</definedName>
    <definedName name="SIS063_F_Profesineliter1Paslaugaproduk9">'[1]Forma 10'!$AB$153</definedName>
    <definedName name="SIS063_F_Programinesira1Geriamojovande1">'[1]Forma 10'!$X$68</definedName>
    <definedName name="SIS063_F_Programinesira1Konkurencinesi1">'[1]Forma 10'!$AA$68</definedName>
    <definedName name="SIS063_F_Programinesira1Paslaugaproduk8">'[1]Forma 10'!$Y$68</definedName>
    <definedName name="SIS063_F_Programinesira1Paslaugaproduk9">'[1]Forma 10'!$AB$68</definedName>
    <definedName name="SIS063_F_Reklamospaslau1Geriamojovande1">'[1]Forma 10'!$X$160</definedName>
    <definedName name="SIS063_F_Reklamospaslau1Konkurencinesi1">'[1]Forma 10'!$AA$160</definedName>
    <definedName name="SIS063_F_Reklamospaslau1Paslaugaproduk8">'[1]Forma 10'!$Y$160</definedName>
    <definedName name="SIS063_F_Reklamospaslau1Paslaugaproduk9">'[1]Forma 10'!$AB$160</definedName>
    <definedName name="SIS063_F_Reprezentacijo1Geriamojovande1">'[1]Forma 10'!$X$166</definedName>
    <definedName name="SIS063_F_Reprezentacijo1Konkurencinesi1">'[1]Forma 10'!$AA$166</definedName>
    <definedName name="SIS063_F_Reprezentacijo1Paslaugaproduk8">'[1]Forma 10'!$Y$166</definedName>
    <definedName name="SIS063_F_Reprezentacijo1Paslaugaproduk9">'[1]Forma 10'!$AB$166</definedName>
    <definedName name="SIS063_F_Rezervinesgali1Geriamojovande1">'[1]Forma 10'!$X$187</definedName>
    <definedName name="SIS063_F_Rezervinesgali1Konkurencinesi1">'[1]Forma 10'!$AA$187</definedName>
    <definedName name="SIS063_F_Rezervinesgali1Paslaugaproduk8">'[1]Forma 10'!$Y$187</definedName>
    <definedName name="SIS063_F_Rezervinesgali1Paslaugaproduk9">'[1]Forma 10'!$AB$187</definedName>
    <definedName name="SIS063_F_Rezerviniokuro1Geriamojovande1">'[1]Forma 10'!$X$106</definedName>
    <definedName name="SIS063_F_Rezerviniokuro1Konkurencinesi1">'[1]Forma 10'!$AA$106</definedName>
    <definedName name="SIS063_F_Rezerviniokuro1Paslaugaproduk8">'[1]Forma 10'!$Y$106</definedName>
    <definedName name="SIS063_F_Rezerviniokuro1Paslaugaproduk9">'[1]Forma 10'!$AB$106</definedName>
    <definedName name="SIS063_F_Rinkostyrimusa1Geriamojovande1">'[1]Forma 10'!$X$163</definedName>
    <definedName name="SIS063_F_Rinkostyrimusa1Konkurencinesi1">'[1]Forma 10'!$AA$163</definedName>
    <definedName name="SIS063_F_Rinkostyrimusa1Paslaugaproduk8">'[1]Forma 10'!$Y$163</definedName>
    <definedName name="SIS063_F_Rinkostyrimusa1Paslaugaproduk9">'[1]Forma 10'!$AB$163</definedName>
    <definedName name="SIS063_F_Rysiupaslaugos1Geriamojovande1">'[1]Forma 10'!$X$149</definedName>
    <definedName name="SIS063_F_Rysiupaslaugos1Konkurencinesi1">'[1]Forma 10'!$AA$149</definedName>
    <definedName name="SIS063_F_Rysiupaslaugos1Paslaugaproduk8">'[1]Forma 10'!$Y$149</definedName>
    <definedName name="SIS063_F_Rysiupaslaugos1Paslaugaproduk9">'[1]Forma 10'!$AB$149</definedName>
    <definedName name="SIS063_F_Saskaituvartot1Geriamojovande1">'[1]Forma 10'!$X$164</definedName>
    <definedName name="SIS063_F_Saskaituvartot1Konkurencinesi1">'[1]Forma 10'!$AA$164</definedName>
    <definedName name="SIS063_F_Saskaituvartot1Paslaugaproduk8">'[1]Forma 10'!$Y$164</definedName>
    <definedName name="SIS063_F_Saskaituvartot1Paslaugaproduk9">'[1]Forma 10'!$AB$164</definedName>
    <definedName name="SIS063_F_Siaudiuisigiji1Geriamojovande1">'[1]Forma 10'!$X$39</definedName>
    <definedName name="SIS063_F_Siaudiuisigiji1Konkurencinesi1">'[1]Forma 10'!$AA$39</definedName>
    <definedName name="SIS063_F_Siaudiuisigiji1Paslaugaproduk8">'[1]Forma 10'!$Y$39</definedName>
    <definedName name="SIS063_F_Siaudiuisigiji1Paslaugaproduk9">'[1]Forma 10'!$AB$39</definedName>
    <definedName name="SIS063_F_Silumosisigiji2Geriamojovande1">'[1]Forma 10'!$X$19</definedName>
    <definedName name="SIS063_F_Silumosisigiji2Konkurencinesi1">'[1]Forma 10'!$AA$19</definedName>
    <definedName name="SIS063_F_Silumosisigiji2Paslaugaproduk8">'[1]Forma 10'!$Y$19</definedName>
    <definedName name="SIS063_F_Silumosisigiji2Paslaugaproduk9">'[1]Forma 10'!$AB$19</definedName>
    <definedName name="SIS063_F_Silumospunktue1Geriamojovande1">'[1]Forma 10'!$X$95</definedName>
    <definedName name="SIS063_F_Silumospunktue1Konkurencinesi1">'[1]Forma 10'!$AA$95</definedName>
    <definedName name="SIS063_F_Silumospunktue1Paslaugaproduk8">'[1]Forma 10'!$Y$95</definedName>
    <definedName name="SIS063_F_Silumospunktue1Paslaugaproduk9">'[1]Forma 10'!$AB$95</definedName>
    <definedName name="SIS063_F_Silumosukiotur2Geriamojovande1">'[1]Forma 10'!$X$171</definedName>
    <definedName name="SIS063_F_Silumosukiotur2Konkurencinesi1">'[1]Forma 10'!$AA$171</definedName>
    <definedName name="SIS063_F_Silumosukiotur2Paslaugaproduk8">'[1]Forma 10'!$Y$171</definedName>
    <definedName name="SIS063_F_Silumosukiotur2Paslaugaproduk9">'[1]Forma 10'!$AB$171</definedName>
    <definedName name="SIS063_F_Skalunualyvosi1Geriamojovande1">'[1]Forma 10'!$X$34</definedName>
    <definedName name="SIS063_F_Skalunualyvosi1Konkurencinesi1">'[1]Forma 10'!$AA$34</definedName>
    <definedName name="SIS063_F_Skalunualyvosi1Paslaugaproduk8">'[1]Forma 10'!$Y$34</definedName>
    <definedName name="SIS063_F_Skalunualyvosi1Paslaugaproduk9">'[1]Forma 10'!$AB$34</definedName>
    <definedName name="SIS063_F_Skoluisieskoji1Geriamojovande1">'[1]Forma 10'!$X$179</definedName>
    <definedName name="SIS063_F_Skoluisieskoji1Konkurencinesi1">'[1]Forma 10'!$AA$179</definedName>
    <definedName name="SIS063_F_Skoluisieskoji1Paslaugaproduk8">'[1]Forma 10'!$Y$179</definedName>
    <definedName name="SIS063_F_Skoluisieskoji1Paslaugaproduk9">'[1]Forma 10'!$AB$179</definedName>
    <definedName name="SIS063_F_Suskystintuduj1Geriamojovande1">'[1]Forma 10'!$X$36</definedName>
    <definedName name="SIS063_F_Suskystintuduj1Konkurencinesi1">'[1]Forma 10'!$AA$36</definedName>
    <definedName name="SIS063_F_Suskystintuduj1Paslaugaproduk8">'[1]Forma 10'!$Y$36</definedName>
    <definedName name="SIS063_F_Suskystintuduj1Paslaugaproduk9">'[1]Forma 10'!$AB$36</definedName>
    <definedName name="SIS063_F_Svietimoirkons1Geriamojovande1">'[1]Forma 10'!$X$167</definedName>
    <definedName name="SIS063_F_Svietimoirkons1Konkurencinesi1">'[1]Forma 10'!$AA$167</definedName>
    <definedName name="SIS063_F_Svietimoirkons1Paslaugaproduk8">'[1]Forma 10'!$Y$167</definedName>
    <definedName name="SIS063_F_Svietimoirkons1Paslaugaproduk9">'[1]Forma 10'!$AB$167</definedName>
    <definedName name="SIS063_F_Tantjemos1Geriamojovande1">'[1]Forma 10'!$X$186</definedName>
    <definedName name="SIS063_F_Tantjemos1Konkurencinesi1">'[1]Forma 10'!$AA$186</definedName>
    <definedName name="SIS063_F_Tantjemos1Paslaugaproduk8">'[1]Forma 10'!$Y$186</definedName>
    <definedName name="SIS063_F_Tantjemos1Paslaugaproduk9">'[1]Forma 10'!$AB$186</definedName>
    <definedName name="SIS063_F_Teisinespaslau1Geriamojovande1">'[1]Forma 10'!$X$147</definedName>
    <definedName name="SIS063_F_Teisinespaslau1Konkurencinesi1">'[1]Forma 10'!$AA$147</definedName>
    <definedName name="SIS063_F_Teisinespaslau1Paslaugaproduk8">'[1]Forma 10'!$Y$147</definedName>
    <definedName name="SIS063_F_Teisinespaslau1Paslaugaproduk9">'[1]Forma 10'!$AB$147</definedName>
    <definedName name="SIS063_F_Tinklueinamojo1Geriamojovande1">'[1]Forma 10'!$X$94</definedName>
    <definedName name="SIS063_F_Tinklueinamojo1Konkurencinesi1">'[1]Forma 10'!$AA$94</definedName>
    <definedName name="SIS063_F_Tinklueinamojo1Paslaugaproduk8">'[1]Forma 10'!$Y$94</definedName>
    <definedName name="SIS063_F_Tinklueinamojo1Paslaugaproduk9">'[1]Forma 10'!$AB$94</definedName>
    <definedName name="SIS063_F_Transportoprie1Geriamojovande1">'[1]Forma 10'!$X$88</definedName>
    <definedName name="SIS063_F_Transportoprie1Konkurencinesi1">'[1]Forma 10'!$AA$88</definedName>
    <definedName name="SIS063_F_Transportoprie1Paslaugaproduk8">'[1]Forma 10'!$Y$88</definedName>
    <definedName name="SIS063_F_Transportoprie1Paslaugaproduk9">'[1]Forma 10'!$AB$88</definedName>
    <definedName name="SIS063_F_Transportoprie2Geriamojovande1">'[1]Forma 10'!$X$110</definedName>
    <definedName name="SIS063_F_Transportoprie2Konkurencinesi1">'[1]Forma 10'!$AA$110</definedName>
    <definedName name="SIS063_F_Transportoprie2Paslaugaproduk8">'[1]Forma 10'!$Y$110</definedName>
    <definedName name="SIS063_F_Transportoprie2Paslaugaproduk9">'[1]Forma 10'!$AB$110</definedName>
    <definedName name="SIS063_F_Transportoprie3Geriamojovande1">'[1]Forma 10'!$X$111</definedName>
    <definedName name="SIS063_F_Transportoprie3Konkurencinesi1">'[1]Forma 10'!$AA$111</definedName>
    <definedName name="SIS063_F_Transportoprie3Paslaugaproduk8">'[1]Forma 10'!$Y$111</definedName>
    <definedName name="SIS063_F_Transportoprie3Paslaugaproduk9">'[1]Forma 10'!$AB$111</definedName>
    <definedName name="SIS063_F_Turtodraudimos1Geriamojovande1">'[1]Forma 10'!$X$174</definedName>
    <definedName name="SIS063_F_Turtodraudimos1Konkurencinesi1">'[1]Forma 10'!$AA$174</definedName>
    <definedName name="SIS063_F_Turtodraudimos1Paslaugaproduk8">'[1]Forma 10'!$Y$174</definedName>
    <definedName name="SIS063_F_Turtodraudimos1Paslaugaproduk9">'[1]Forma 10'!$AB$174</definedName>
    <definedName name="SIS063_F_Turtonuomosnes1Geriamojovande1">'[1]Forma 10'!$X$108</definedName>
    <definedName name="SIS063_F_Turtonuomosnes1Konkurencinesi1">'[1]Forma 10'!$AA$108</definedName>
    <definedName name="SIS063_F_Turtonuomosnes1Paslaugaproduk8">'[1]Forma 10'!$Y$108</definedName>
    <definedName name="SIS063_F_Turtonuomosnes1Paslaugaproduk9">'[1]Forma 10'!$AB$108</definedName>
    <definedName name="SIS063_F_Valstybiniuist1Geriamojovande1">'[1]Forma 10'!$X$136</definedName>
    <definedName name="SIS063_F_Valstybiniuist1Konkurencinesi1">'[1]Forma 10'!$AA$136</definedName>
    <definedName name="SIS063_F_Valstybiniuist1Paslaugaproduk8">'[1]Forma 10'!$Y$136</definedName>
    <definedName name="SIS063_F_Valstybiniuist1Paslaugaproduk9">'[1]Forma 10'!$AB$136</definedName>
    <definedName name="SIS063_F_Vandenstechnol2Geriamojovande1">'[1]Forma 10'!$X$49</definedName>
    <definedName name="SIS063_F_Vandenstechnol2Konkurencinesi1">'[1]Forma 10'!$AA$49</definedName>
    <definedName name="SIS063_F_Vandenstechnol2Paslaugaproduk8">'[1]Forma 10'!$Y$49</definedName>
    <definedName name="SIS063_F_Vandenstechnol2Paslaugaproduk9">'[1]Forma 10'!$AB$49</definedName>
    <definedName name="SIS063_F_Vartotojumokej1Geriamojovande1">'[1]Forma 10'!$X$165</definedName>
    <definedName name="SIS063_F_Vartotojumokej1Konkurencinesi1">'[1]Forma 10'!$AA$165</definedName>
    <definedName name="SIS063_F_Vartotojumokej1Paslaugaproduk8">'[1]Forma 10'!$Y$165</definedName>
    <definedName name="SIS063_F_Vartotojumokej1Paslaugaproduk9">'[1]Forma 10'!$AB$165</definedName>
    <definedName name="SIS063_F_Veiklosrizikos1Geriamojovande1">'[1]Forma 10'!$X$175</definedName>
    <definedName name="SIS063_F_Veiklosrizikos1Konkurencinesi1">'[1]Forma 10'!$AA$175</definedName>
    <definedName name="SIS063_F_Veiklosrizikos1Paslaugaproduk8">'[1]Forma 10'!$Y$175</definedName>
    <definedName name="SIS063_F_Veiklosrizikos1Paslaugaproduk9">'[1]Forma 10'!$AB$175</definedName>
    <definedName name="SIS063_F_Zemesmokescios1Geriamojovande1">'[1]Forma 10'!$X$133</definedName>
    <definedName name="SIS063_F_Zemesmokescios1Konkurencinesi1">'[1]Forma 10'!$AA$133</definedName>
    <definedName name="SIS063_F_Zemesmokescios1Paslaugaproduk8">'[1]Forma 10'!$Y$133</definedName>
    <definedName name="SIS063_F_Zemesmokescios1Paslaugaproduk9">'[1]Forma 10'!$AB$133</definedName>
    <definedName name="SIS063_F_Zyminiomokesci1Geriamojovande1">'[1]Forma 10'!$X$137</definedName>
    <definedName name="SIS063_F_Zyminiomokesci1Konkurencinesi1">'[1]Forma 10'!$AA$137</definedName>
    <definedName name="SIS063_F_Zyminiomokesci1Paslaugaproduk8">'[1]Forma 10'!$Y$137</definedName>
    <definedName name="SIS063_F_Zyminiomokesci1Paslaugaproduk9">'[1]Forma 10'!$AB$137</definedName>
    <definedName name="SIS064_F_Administracijo1Elektrosenergi5">'[1]Forma 11'!$Z$132</definedName>
    <definedName name="SIS064_F_Administracijo1Elektrosenergi6">'[1]Forma 11'!$AC$132</definedName>
    <definedName name="SIS064_F_Administracine1Elektrosenergi5">'[1]Forma 11'!$Z$82</definedName>
    <definedName name="SIS064_F_Administracine1Elektrosenergi6">'[1]Forma 11'!$AC$82</definedName>
    <definedName name="SIS064_F_Akmensangliesi1Elektrosenergi5">'[1]Forma 11'!$Z$42</definedName>
    <definedName name="SIS064_F_Akmensangliesi1Elektrosenergi6">'[1]Forma 11'!$AC$42</definedName>
    <definedName name="SIS064_F_Apyvartiniutar2Elektrosenergi5">'[1]Forma 11'!$Z$58</definedName>
    <definedName name="SIS064_F_Apyvartiniutar2Elektrosenergi6">'[1]Forma 11'!$AC$58</definedName>
    <definedName name="SIS064_F_Aplinkostarsos1Elektrosenergi5">'[1]Forma 11'!$Z$140</definedName>
    <definedName name="SIS064_F_Aplinkostarsos1Elektrosenergi6">'[1]Forma 11'!$AC$140</definedName>
    <definedName name="SIS064_F_Apsauginiaiird1Elektrosenergi5">'[1]Forma 11'!$Z$130</definedName>
    <definedName name="SIS064_F_Apsauginiaiird1Elektrosenergi6">'[1]Forma 11'!$AC$130</definedName>
    <definedName name="SIS064_F_Atliekinessilu1Elektrosenergi5">'[1]Forma 11'!$Z$25</definedName>
    <definedName name="SIS064_F_Atliekinessilu1Elektrosenergi6">'[1]Forma 11'!$AC$25</definedName>
    <definedName name="SIS064_F_Atsiskaitomuju1Elektrosenergi5">'[1]Forma 11'!$Z$108</definedName>
    <definedName name="SIS064_F_Atsiskaitomuju1Elektrosenergi6">'[1]Forma 11'!$AC$108</definedName>
    <definedName name="SIS064_F_Auditofinansin1Elektrosenergi5">'[1]Forma 11'!$Z$181</definedName>
    <definedName name="SIS064_F_Auditofinansin1Elektrosenergi6">'[1]Forma 11'!$AC$181</definedName>
    <definedName name="SIS064_F_Auditokitosana1Elektrosenergi5">'[1]Forma 11'!$Z$183</definedName>
    <definedName name="SIS064_F_Auditokitosana1Elektrosenergi6">'[1]Forma 11'!$AC$183</definedName>
    <definedName name="SIS064_F_Auditoreguliuo1Elektrosenergi5">'[1]Forma 11'!$Z$182</definedName>
    <definedName name="SIS064_F_Auditoreguliuo1Elektrosenergi6">'[1]Forma 11'!$AC$182</definedName>
    <definedName name="SIS064_F_Balansavimoauk1Elektrosenergi5">'[1]Forma 11'!$Z$26</definedName>
    <definedName name="SIS064_F_Balansavimoauk1Elektrosenergi6">'[1]Forma 11'!$AC$26</definedName>
    <definedName name="SIS064_F_Balansavimosan1Elektrosenergi5">'[1]Forma 11'!$Z$28</definedName>
    <definedName name="SIS064_F_Balansavimosan1Elektrosenergi6">'[1]Forma 11'!$AC$28</definedName>
    <definedName name="SIS064_F_Bankopaslauguk1Elektrosenergi5">'[1]Forma 11'!$Z$146</definedName>
    <definedName name="SIS064_F_Bankopaslauguk1Elektrosenergi6">'[1]Forma 11'!$AC$146</definedName>
    <definedName name="SIS064_F_Beviltiskossko1Elektrosenergi5">'[1]Forma 11'!$Z$189</definedName>
    <definedName name="SIS064_F_Beviltiskossko1Elektrosenergi6">'[1]Forma 11'!$AC$189</definedName>
    <definedName name="SIS064_F_Biodujuisigiji1Elektrosenergi5">'[1]Forma 11'!$Z$43</definedName>
    <definedName name="SIS064_F_Biodujuisigiji1Elektrosenergi6">'[1]Forma 11'!$AC$43</definedName>
    <definedName name="SIS064_F_Cheminesmedzia1Elektrosenergi5">'[1]Forma 11'!$Z$66</definedName>
    <definedName name="SIS064_F_Cheminesmedzia1Elektrosenergi6">'[1]Forma 11'!$AC$66</definedName>
    <definedName name="SIS064_F_Darbdavioimoku1Elektrosenergi5">'[1]Forma 11'!$Z$126</definedName>
    <definedName name="SIS064_F_Darbdavioimoku1Elektrosenergi6">'[1]Forma 11'!$AC$126</definedName>
    <definedName name="SIS064_F_Darbouzmokesci1Elektrosenergi5">'[1]Forma 11'!$Z$125</definedName>
    <definedName name="SIS064_F_Darbouzmokesci1Elektrosenergi6">'[1]Forma 11'!$AC$125</definedName>
    <definedName name="SIS064_F_Dyzelinoisigij1Elektrosenergi5">'[1]Forma 11'!$Z$40</definedName>
    <definedName name="SIS064_F_Dyzelinoisigij1Elektrosenergi6">'[1]Forma 11'!$AC$40</definedName>
    <definedName name="SIS064_F_Durpiuisigijim1Elektrosenergi5">'[1]Forma 11'!$Z$45</definedName>
    <definedName name="SIS064_F_Durpiuisigijim1Elektrosenergi6">'[1]Forma 11'!$AC$45</definedName>
    <definedName name="SIS064_F_Elektrosenergi9Elektrosenergi5">'[1]Forma 11'!$Z$51</definedName>
    <definedName name="SIS064_F_Elektrosenergi9Elektrosenergi6">'[1]Forma 11'!$AC$51</definedName>
    <definedName name="SIS064_F_Energetikosist1Elektrosenergi5">'[1]Forma 11'!$Z$143</definedName>
    <definedName name="SIS064_F_Energetikosist1Elektrosenergi6">'[1]Forma 11'!$AC$143</definedName>
    <definedName name="SIS064_F_Energijosistek1Elektrosenergi5">'[1]Forma 11'!$Z$63</definedName>
    <definedName name="SIS064_F_Energijosistek1Elektrosenergi6">'[1]Forma 11'!$AC$63</definedName>
    <definedName name="SIS064_F_Gamybinespaski1Elektrosenergi5">'[1]Forma 11'!$Z$75</definedName>
    <definedName name="SIS064_F_Gamybinespaski1Elektrosenergi6">'[1]Forma 11'!$AC$75</definedName>
    <definedName name="SIS064_F_Gamybinespaski2Elektrosenergi5">'[1]Forma 11'!$Z$76</definedName>
    <definedName name="SIS064_F_Gamybinespaski2Elektrosenergi6">'[1]Forma 11'!$AC$76</definedName>
    <definedName name="SIS064_F_Gamybinespaski3Elektrosenergi5">'[1]Forma 11'!$Z$77</definedName>
    <definedName name="SIS064_F_Gamybinespaski3Elektrosenergi6">'[1]Forma 11'!$AC$77</definedName>
    <definedName name="SIS064_F_Gamybosobjektu1Elektrosenergi5">'[1]Forma 11'!$Z$98</definedName>
    <definedName name="SIS064_F_Gamybosobjektu1Elektrosenergi6">'[1]Forma 11'!$AC$98</definedName>
    <definedName name="SIS064_F_Gamtiniudujubi1Elektrosenergi5">'[1]Forma 11'!$Z$64</definedName>
    <definedName name="SIS064_F_Gamtiniudujubi1Elektrosenergi6">'[1]Forma 11'!$AC$64</definedName>
    <definedName name="SIS064_F_Gamtiniudujuis1Elektrosenergi5">'[1]Forma 11'!$Z$31</definedName>
    <definedName name="SIS064_F_Gamtiniudujuis1Elektrosenergi6">'[1]Forma 11'!$AC$31</definedName>
    <definedName name="SIS064_F_Investiciniotu1Elektrosenergi5">'[1]Forma 11'!$Z$95</definedName>
    <definedName name="SIS064_F_Investiciniotu1Elektrosenergi6">'[1]Forma 11'!$AC$95</definedName>
    <definedName name="SIS064_F_Iseitinespasal1Elektrosenergi5">'[1]Forma 11'!$Z$129</definedName>
    <definedName name="SIS064_F_Iseitinespasal1Elektrosenergi6">'[1]Forma 11'!$AC$129</definedName>
    <definedName name="SIS064_F_Isviso3Elektrossavoms1">'[1]Forma 11'!$FI$195</definedName>
    <definedName name="SIS064_F_Isviso3Geriamojovande1">'[1]Forma 11'!$AA$195</definedName>
    <definedName name="SIS064_F_Isviso3Paslaugaproduk8">'[1]Forma 11'!$AB$195</definedName>
    <definedName name="SIS064_F_Isviso3Paslaugaproduk9">'[1]Forma 11'!$AE$195</definedName>
    <definedName name="SIS064_F_Itaptarnavimos1Elektrosenergi5">'[1]Forma 11'!$Z$101</definedName>
    <definedName name="SIS064_F_Itaptarnavimos1Elektrosenergi6">'[1]Forma 11'!$AC$101</definedName>
    <definedName name="SIS064_F_Kanceliariness1Elektrosenergi5">'[1]Forma 11'!$Z$156</definedName>
    <definedName name="SIS064_F_Kanceliariness1Elektrosenergi6">'[1]Forma 11'!$AC$156</definedName>
    <definedName name="SIS064_F_Kelionessanaud1Elektrosenergi5">'[1]Forma 11'!$Z$131</definedName>
    <definedName name="SIS064_F_Kelionessanaud1Elektrosenergi6">'[1]Forma 11'!$AC$131</definedName>
    <definedName name="SIS064_F_Kitoilgalaikio1Elektrosenergi5">'[1]Forma 11'!$Z$96</definedName>
    <definedName name="SIS064_F_Kitoilgalaikio1Elektrosenergi6">'[1]Forma 11'!$AC$96</definedName>
    <definedName name="SIS064_F_Kitomaterialau1Elektrosenergi5">'[1]Forma 11'!$Z$94</definedName>
    <definedName name="SIS064_F_Kitomaterialau1Elektrosenergi6">'[1]Forma 11'!$AC$94</definedName>
    <definedName name="SIS064_F_Kitonematerial1Elektrosenergi5">'[1]Forma 11'!$Z$74</definedName>
    <definedName name="SIS064_F_Kitonematerial1Elektrosenergi6">'[1]Forma 11'!$AC$74</definedName>
    <definedName name="SIS064_F_Kitosadministr1Elektrosenergi5">'[1]Forma 11'!$Z$161</definedName>
    <definedName name="SIS064_F_Kitosadministr1Elektrosenergi6">'[1]Forma 11'!$AC$161</definedName>
    <definedName name="SIS064_F_Kitosadministr2Elektrosenergi5">'[1]Forma 11'!$Z$162</definedName>
    <definedName name="SIS064_F_Kitosadministr2Elektrosenergi6">'[1]Forma 11'!$AC$162</definedName>
    <definedName name="SIS064_F_Kitosadministr3Elektrosenergi5">'[1]Forma 11'!$Z$163</definedName>
    <definedName name="SIS064_F_Kitosadministr3Elektrosenergi6">'[1]Forma 11'!$AC$163</definedName>
    <definedName name="SIS064_F_Kitoseinamojor1Elektrosenergi5">'[1]Forma 11'!$Z$119</definedName>
    <definedName name="SIS064_F_Kitoseinamojor1Elektrosenergi6">'[1]Forma 11'!$AC$119</definedName>
    <definedName name="SIS064_F_Kitoseinamojor2Elektrosenergi5">'[1]Forma 11'!$Z$120</definedName>
    <definedName name="SIS064_F_Kitoseinamojor2Elektrosenergi6">'[1]Forma 11'!$AC$120</definedName>
    <definedName name="SIS064_F_Kitoseinamojor3Elektrosenergi5">'[1]Forma 11'!$Z$121</definedName>
    <definedName name="SIS064_F_Kitoseinamojor3Elektrosenergi6">'[1]Forma 11'!$AC$121</definedName>
    <definedName name="SIS064_F_Kitoseinamojor4Elektrosenergi5">'[1]Forma 11'!$Z$122</definedName>
    <definedName name="SIS064_F_Kitoseinamojor4Elektrosenergi6">'[1]Forma 11'!$AC$122</definedName>
    <definedName name="SIS064_F_Kitoseinamojor5Elektrosenergi5">'[1]Forma 11'!$Z$123</definedName>
    <definedName name="SIS064_F_Kitoseinamojor5Elektrosenergi6">'[1]Forma 11'!$AC$123</definedName>
    <definedName name="SIS064_F_Kitosfinansine1Elektrosenergi5">'[1]Forma 11'!$Z$149</definedName>
    <definedName name="SIS064_F_Kitosfinansine1Elektrosenergi6">'[1]Forma 11'!$AC$149</definedName>
    <definedName name="SIS064_F_Kitosfinansine2Elektrosenergi5">'[1]Forma 11'!$Z$150</definedName>
    <definedName name="SIS064_F_Kitosfinansine2Elektrosenergi6">'[1]Forma 11'!$AC$150</definedName>
    <definedName name="SIS064_F_Kitosirangospr1Elektrosenergi5">'[1]Forma 11'!$Z$84</definedName>
    <definedName name="SIS064_F_Kitosirangospr1Elektrosenergi6">'[1]Forma 11'!$AC$84</definedName>
    <definedName name="SIS064_F_Kitosirangospr2Elektrosenergi5">'[1]Forma 11'!$Z$90</definedName>
    <definedName name="SIS064_F_Kitosirangospr2Elektrosenergi6">'[1]Forma 11'!$AC$90</definedName>
    <definedName name="SIS064_F_Kitosirangospr3Elektrosenergi5">'[1]Forma 11'!$Z$91</definedName>
    <definedName name="SIS064_F_Kitosirangospr3Elektrosenergi6">'[1]Forma 11'!$AC$91</definedName>
    <definedName name="SIS064_F_Kitosirangospr4Elektrosenergi5">'[1]Forma 11'!$Z$92</definedName>
    <definedName name="SIS064_F_Kitosirangospr4Elektrosenergi6">'[1]Forma 11'!$AC$92</definedName>
    <definedName name="SIS064_F_Kitoskintamosi2Elektrosenergi5">'[1]Forma 11'!$Z$67</definedName>
    <definedName name="SIS064_F_Kitoskintamosi2Elektrosenergi6">'[1]Forma 11'!$AC$67</definedName>
    <definedName name="SIS064_F_Kitoskintamosi3Elektrosenergi5">'[1]Forma 11'!$Z$68</definedName>
    <definedName name="SIS064_F_Kitoskintamosi3Elektrosenergi6">'[1]Forma 11'!$AC$68</definedName>
    <definedName name="SIS064_F_Kitoskurorusie1Elektrosenergi5">'[1]Forma 11'!$Z$46</definedName>
    <definedName name="SIS064_F_Kitoskurorusie1Elektrosenergi6">'[1]Forma 11'!$AC$46</definedName>
    <definedName name="SIS064_F_Kitoskurorusie2Elektrosenergi5">'[1]Forma 11'!$Z$47</definedName>
    <definedName name="SIS064_F_Kitoskurorusie2Elektrosenergi6">'[1]Forma 11'!$AC$47</definedName>
    <definedName name="SIS064_F_Kitoskurorusie3Elektrosenergi5">'[1]Forma 11'!$Z$48</definedName>
    <definedName name="SIS064_F_Kitoskurorusie3Elektrosenergi6">'[1]Forma 11'!$AC$48</definedName>
    <definedName name="SIS064_F_Kitospaskirtie1Elektrosenergi5">'[1]Forma 11'!$Z$78</definedName>
    <definedName name="SIS064_F_Kitospaskirtie1Elektrosenergi6">'[1]Forma 11'!$AC$78</definedName>
    <definedName name="SIS064_F_Kitospaskirtie2Elektrosenergi5">'[1]Forma 11'!$Z$79</definedName>
    <definedName name="SIS064_F_Kitospaskirtie2Elektrosenergi6">'[1]Forma 11'!$AC$79</definedName>
    <definedName name="SIS064_F_Kitospaskirtie3Elektrosenergi5">'[1]Forma 11'!$Z$80</definedName>
    <definedName name="SIS064_F_Kitospaskirtie3Elektrosenergi6">'[1]Forma 11'!$AC$80</definedName>
    <definedName name="SIS064_F_Kitospaskirtie4Elektrosenergi5">'[1]Forma 11'!$Z$81</definedName>
    <definedName name="SIS064_F_Kitospaskirtie4Elektrosenergi6">'[1]Forma 11'!$AC$81</definedName>
    <definedName name="SIS064_F_Kitospaskirtie5Elektrosenergi5">'[1]Forma 11'!$Z$83</definedName>
    <definedName name="SIS064_F_Kitospaskirtie5Elektrosenergi6">'[1]Forma 11'!$AC$83</definedName>
    <definedName name="SIS064_F_Kitospastovios2Elektrosenergi5">'[1]Forma 11'!$Z$193</definedName>
    <definedName name="SIS064_F_Kitospastovios2Elektrosenergi6">'[1]Forma 11'!$AC$193</definedName>
    <definedName name="SIS064_F_Kitospastovios3Elektrosenergi5">'[1]Forma 11'!$Z$194</definedName>
    <definedName name="SIS064_F_Kitospastovios3Elektrosenergi6">'[1]Forma 11'!$AC$194</definedName>
    <definedName name="SIS064_F_Kitosrinkodaro1Elektrosenergi5">'[1]Forma 11'!$Z$173</definedName>
    <definedName name="SIS064_F_Kitosrinkodaro1Elektrosenergi6">'[1]Forma 11'!$AC$173</definedName>
    <definedName name="SIS064_F_Kitosrinkodaro2Elektrosenergi5">'[1]Forma 11'!$Z$174</definedName>
    <definedName name="SIS064_F_Kitosrinkodaro2Elektrosenergi6">'[1]Forma 11'!$AC$174</definedName>
    <definedName name="SIS064_F_Kitossanaudoss1Elektrosenergi5">'[1]Forma 11'!$Z$29</definedName>
    <definedName name="SIS064_F_Kitossanaudoss1Elektrosenergi6">'[1]Forma 11'!$AC$29</definedName>
    <definedName name="SIS064_F_Kitossanaudoss2Elektrosenergi5">'[1]Forma 11'!$Z$49</definedName>
    <definedName name="SIS064_F_Kitossanaudoss2Elektrosenergi6">'[1]Forma 11'!$AC$49</definedName>
    <definedName name="SIS064_F_Kitossanaudoss3Elektrosenergi5">'[1]Forma 11'!$Z$52</definedName>
    <definedName name="SIS064_F_Kitossanaudoss3Elektrosenergi6">'[1]Forma 11'!$AC$52</definedName>
    <definedName name="SIS064_F_Kitossanaudoss4Elektrosenergi5">'[1]Forma 11'!$Z$56</definedName>
    <definedName name="SIS064_F_Kitossanaudoss4Elektrosenergi6">'[1]Forma 11'!$AC$56</definedName>
    <definedName name="SIS064_F_Kitossanaudoss5Elektrosenergi5">'[1]Forma 11'!$Z$59</definedName>
    <definedName name="SIS064_F_Kitossanaudoss5Elektrosenergi6">'[1]Forma 11'!$AC$59</definedName>
    <definedName name="SIS064_F_Kitossanaudoss6Elektrosenergi5">'[1]Forma 11'!$Z$60</definedName>
    <definedName name="SIS064_F_Kitossanaudoss6Elektrosenergi6">'[1]Forma 11'!$AC$60</definedName>
    <definedName name="SIS064_F_Kitossanaudoss7Elektrosenergi5">'[1]Forma 11'!$Z$177</definedName>
    <definedName name="SIS064_F_Kitossanaudoss7Elektrosenergi6">'[1]Forma 11'!$AC$177</definedName>
    <definedName name="SIS064_F_Kitossupersona1Elektrosenergi5">'[1]Forma 11'!$Z$133</definedName>
    <definedName name="SIS064_F_Kitossupersona1Elektrosenergi6">'[1]Forma 11'!$AC$133</definedName>
    <definedName name="SIS064_F_Kitossupersona2Elektrosenergi5">'[1]Forma 11'!$Z$134</definedName>
    <definedName name="SIS064_F_Kitossupersona2Elektrosenergi6">'[1]Forma 11'!$AC$134</definedName>
    <definedName name="SIS064_F_Kitossupersona3Elektrosenergi5">'[1]Forma 11'!$Z$135</definedName>
    <definedName name="SIS064_F_Kitossupersona3Elektrosenergi6">'[1]Forma 11'!$AC$135</definedName>
    <definedName name="SIS064_F_Kitossupersona4Elektrosenergi5">'[1]Forma 11'!$Z$136</definedName>
    <definedName name="SIS064_F_Kitossupersona4Elektrosenergi6">'[1]Forma 11'!$AC$136</definedName>
    <definedName name="SIS064_F_Kitumasinuirir1Elektrosenergi5">'[1]Forma 11'!$Z$89</definedName>
    <definedName name="SIS064_F_Kitumasinuirir1Elektrosenergi6">'[1]Forma 11'!$AC$89</definedName>
    <definedName name="SIS064_F_Kitumokesciuva1Elektrosenergi5">'[1]Forma 11'!$Z$144</definedName>
    <definedName name="SIS064_F_Kitumokesciuva1Elektrosenergi6">'[1]Forma 11'!$AC$144</definedName>
    <definedName name="SIS064_F_Kituobjektunur1Elektrosenergi5">'[1]Forma 11'!$Z$102</definedName>
    <definedName name="SIS064_F_Kituobjektunur1Elektrosenergi6">'[1]Forma 11'!$AC$102</definedName>
    <definedName name="SIS064_F_Komunalinespas1Elektrosenergi5">'[1]Forma 11'!$Z$159</definedName>
    <definedName name="SIS064_F_Komunalinespas1Elektrosenergi6">'[1]Forma 11'!$AC$159</definedName>
    <definedName name="SIS064_F_Komunaliniupas1Elektrosenergi5">'[1]Forma 11'!$Z$114</definedName>
    <definedName name="SIS064_F_Komunaliniupas1Elektrosenergi6">'[1]Forma 11'!$AC$114</definedName>
    <definedName name="SIS064_F_Konsultacinesp1Elektrosenergi5">'[1]Forma 11'!$Z$153</definedName>
    <definedName name="SIS064_F_Konsultacinesp1Elektrosenergi6">'[1]Forma 11'!$AC$153</definedName>
    <definedName name="SIS064_F_Labdaraparamas1Elektrosenergi5">'[1]Forma 11'!$Z$188</definedName>
    <definedName name="SIS064_F_Labdaraparamas1Elektrosenergi6">'[1]Forma 11'!$AC$188</definedName>
    <definedName name="SIS064_F_Laboratoriniai1Elektrosenergi5">'[1]Forma 11'!$Z$65</definedName>
    <definedName name="SIS064_F_Laboratoriniai1Elektrosenergi6">'[1]Forma 11'!$AC$65</definedName>
    <definedName name="SIS064_F_Likviduotonura1Elektrosenergi5">'[1]Forma 11'!$Z$186</definedName>
    <definedName name="SIS064_F_Likviduotonura1Elektrosenergi6">'[1]Forma 11'!$AC$186</definedName>
    <definedName name="SIS064_F_Malkinesmedien1Elektrosenergi5">'[1]Forma 11'!$Z$36</definedName>
    <definedName name="SIS064_F_Malkinesmedien1Elektrosenergi6">'[1]Forma 11'!$AC$36</definedName>
    <definedName name="SIS064_F_Masinuirirengi1Elektrosenergi5">'[1]Forma 11'!$Z$85</definedName>
    <definedName name="SIS064_F_Masinuirirengi1Elektrosenergi6">'[1]Forma 11'!$AC$85</definedName>
    <definedName name="SIS064_F_Masinuirirengi2Elektrosenergi5">'[1]Forma 11'!$Z$86</definedName>
    <definedName name="SIS064_F_Masinuirirengi2Elektrosenergi6">'[1]Forma 11'!$AC$86</definedName>
    <definedName name="SIS064_F_Masinuirirengi3Elektrosenergi5">'[1]Forma 11'!$Z$87</definedName>
    <definedName name="SIS064_F_Masinuirirengi3Elektrosenergi6">'[1]Forma 11'!$AC$87</definedName>
    <definedName name="SIS064_F_Masinuirirengi4Elektrosenergi5">'[1]Forma 11'!$Z$88</definedName>
    <definedName name="SIS064_F_Masinuirirengi4Elektrosenergi6">'[1]Forma 11'!$AC$88</definedName>
    <definedName name="SIS064_F_Mazavercioinve1Elektrosenergi5">'[1]Forma 11'!$Z$112</definedName>
    <definedName name="SIS064_F_Mazavercioinve1Elektrosenergi6">'[1]Forma 11'!$AC$112</definedName>
    <definedName name="SIS064_F_Mazutoisigijim1Elektrosenergi5">'[1]Forma 11'!$Z$32</definedName>
    <definedName name="SIS064_F_Mazutoisigijim1Elektrosenergi6">'[1]Forma 11'!$AC$32</definedName>
    <definedName name="SIS064_F_Medienosbriket1Elektrosenergi5">'[1]Forma 11'!$Z$37</definedName>
    <definedName name="SIS064_F_Medienosbriket1Elektrosenergi6">'[1]Forma 11'!$AC$37</definedName>
    <definedName name="SIS064_F_Medienosisigij1Elektrosenergi5">'[1]Forma 11'!$Z$33</definedName>
    <definedName name="SIS064_F_Medienosisigij1Elektrosenergi6">'[1]Forma 11'!$AC$33</definedName>
    <definedName name="SIS064_F_Medienoskilmes1Elektrosenergi5">'[1]Forma 11'!$Z$35</definedName>
    <definedName name="SIS064_F_Medienoskilmes1Elektrosenergi6">'[1]Forma 11'!$AC$35</definedName>
    <definedName name="SIS064_F_Medienosskiedr1Elektrosenergi5">'[1]Forma 11'!$Z$34</definedName>
    <definedName name="SIS064_F_Medienosskiedr1Elektrosenergi6">'[1]Forma 11'!$AC$34</definedName>
    <definedName name="SIS064_F_Medziaguzaliav1Elektrosenergi5">'[1]Forma 11'!$Z$103</definedName>
    <definedName name="SIS064_F_Medziaguzaliav1Elektrosenergi6">'[1]Forma 11'!$AC$103</definedName>
    <definedName name="SIS064_F_Medziaguzaliav2Elektrosenergi5">'[1]Forma 11'!$Z$104</definedName>
    <definedName name="SIS064_F_Medziaguzaliav2Elektrosenergi6">'[1]Forma 11'!$AC$104</definedName>
    <definedName name="SIS064_F_Medziaguzaliav3Elektrosenergi5">'[1]Forma 11'!$Z$105</definedName>
    <definedName name="SIS064_F_Medziaguzaliav3Elektrosenergi6">'[1]Forma 11'!$AC$105</definedName>
    <definedName name="SIS064_F_Medziaguzaliav4Elektrosenergi5">'[1]Forma 11'!$Z$106</definedName>
    <definedName name="SIS064_F_Medziaguzaliav4Elektrosenergi6">'[1]Forma 11'!$AC$106</definedName>
    <definedName name="SIS064_F_Medziaguzaliav5Elektrosenergi5">'[1]Forma 11'!$Z$107</definedName>
    <definedName name="SIS064_F_Medziaguzaliav5Elektrosenergi6">'[1]Forma 11'!$AC$107</definedName>
    <definedName name="SIS064_F_Medziogranuliu1Elektrosenergi5">'[1]Forma 11'!$Z$38</definedName>
    <definedName name="SIS064_F_Medziogranuliu1Elektrosenergi6">'[1]Forma 11'!$AC$38</definedName>
    <definedName name="SIS064_F_Metrologinespa1Elektrosenergi5">'[1]Forma 11'!$Z$118</definedName>
    <definedName name="SIS064_F_Metrologinespa1Elektrosenergi6">'[1]Forma 11'!$AC$118</definedName>
    <definedName name="SIS064_F_Mokymukvalifik1Elektrosenergi5">'[1]Forma 11'!$Z$128</definedName>
    <definedName name="SIS064_F_Mokymukvalifik1Elektrosenergi6">'[1]Forma 11'!$AC$128</definedName>
    <definedName name="SIS064_F_Muitinesireksp1Elektrosenergi5">'[1]Forma 11'!$Z$117</definedName>
    <definedName name="SIS064_F_Muitinesireksp1Elektrosenergi6">'[1]Forma 11'!$AC$117</definedName>
    <definedName name="SIS064_F_Narystesstojam1Elektrosenergi5">'[1]Forma 11'!$Z$185</definedName>
    <definedName name="SIS064_F_Narystesstojam1Elektrosenergi6">'[1]Forma 11'!$AC$185</definedName>
    <definedName name="SIS064_F_Neigiamosmoket1Elektrosenergi5">'[1]Forma 11'!$Z$148</definedName>
    <definedName name="SIS064_F_Neigiamosmoket1Elektrosenergi6">'[1]Forma 11'!$AC$148</definedName>
    <definedName name="SIS064_F_Nekilnojamotur1Elektrosenergi5">'[1]Forma 11'!$Z$139</definedName>
    <definedName name="SIS064_F_Nekilnojamotur1Elektrosenergi6">'[1]Forma 11'!$AC$139</definedName>
    <definedName name="SIS064_F_Nuotekutvarkym1Elektrosenergi5">'[1]Forma 11'!$Z$55</definedName>
    <definedName name="SIS064_F_Nuotekutvarkym1Elektrosenergi6">'[1]Forma 11'!$AC$55</definedName>
    <definedName name="SIS064_F_Nuotolinesduom1Elektrosenergi5">'[1]Forma 11'!$Z$109</definedName>
    <definedName name="SIS064_F_Nuotolinesduom1Elektrosenergi6">'[1]Forma 11'!$AC$109</definedName>
    <definedName name="SIS064_F_Nurasytuatsisk1Elektrosenergi5">'[1]Forma 11'!$Z$187</definedName>
    <definedName name="SIS064_F_Nurasytuatsisk1Elektrosenergi6">'[1]Forma 11'!$AC$187</definedName>
    <definedName name="SIS064_F_Orginventoriau1Elektrosenergi5">'[1]Forma 11'!$Z$157</definedName>
    <definedName name="SIS064_F_Orginventoriau1Elektrosenergi6">'[1]Forma 11'!$AC$157</definedName>
    <definedName name="SIS064_F_Pajegumuaukcio1Elektrosenergi5">'[1]Forma 11'!$Z$27</definedName>
    <definedName name="SIS064_F_Pajegumuaukcio1Elektrosenergi6">'[1]Forma 11'!$AC$27</definedName>
    <definedName name="SIS064_F_Palukanusanaud1Elektrosenergi5">'[1]Forma 11'!$Z$147</definedName>
    <definedName name="SIS064_F_Palukanusanaud1Elektrosenergi6">'[1]Forma 11'!$AC$147</definedName>
    <definedName name="SIS064_F_Papildomodarbu1Elektrosenergi5">'[1]Forma 11'!$Z$127</definedName>
    <definedName name="SIS064_F_Papildomodarbu1Elektrosenergi6">'[1]Forma 11'!$AC$127</definedName>
    <definedName name="SIS064_F_Pastopasiuntin1Elektrosenergi5">'[1]Forma 11'!$Z$155</definedName>
    <definedName name="SIS064_F_Pastopasiuntin1Elektrosenergi6">'[1]Forma 11'!$AC$155</definedName>
    <definedName name="SIS064_F_Patalpuneadmin1Elektrosenergi5">'[1]Forma 11'!$Z$110</definedName>
    <definedName name="SIS064_F_Patalpuneadmin1Elektrosenergi6">'[1]Forma 11'!$AC$110</definedName>
    <definedName name="SIS064_F_Patalpuprieziu1Elektrosenergi5">'[1]Forma 11'!$Z$160</definedName>
    <definedName name="SIS064_F_Patalpuprieziu1Elektrosenergi6">'[1]Forma 11'!$AC$160</definedName>
    <definedName name="SIS064_F_Patentulicenci1Elektrosenergi5">'[1]Forma 11'!$Z$72</definedName>
    <definedName name="SIS064_F_Patentulicenci1Elektrosenergi6">'[1]Forma 11'!$AC$72</definedName>
    <definedName name="SIS064_F_Pelenutvarkymo1Elektrosenergi5">'[1]Forma 11'!$Z$62</definedName>
    <definedName name="SIS064_F_Pelenutvarkymo1Elektrosenergi6">'[1]Forma 11'!$AC$62</definedName>
    <definedName name="SIS064_F_Pletrosdarbunu1Elektrosenergi5">'[1]Forma 11'!$Z$70</definedName>
    <definedName name="SIS064_F_Pletrosdarbunu1Elektrosenergi6">'[1]Forma 11'!$AC$70</definedName>
    <definedName name="SIS064_F_Prekeszenkloiv1Elektrosenergi5">'[1]Forma 11'!$Z$167</definedName>
    <definedName name="SIS064_F_Prekeszenkloiv1Elektrosenergi6">'[1]Forma 11'!$AC$167</definedName>
    <definedName name="SIS064_F_Prestizonuside1Elektrosenergi5">'[1]Forma 11'!$Z$71</definedName>
    <definedName name="SIS064_F_Prestizonuside1Elektrosenergi6">'[1]Forma 11'!$AC$71</definedName>
    <definedName name="SIS064_F_Priskaitytosba1Elektrosenergi5">'[1]Forma 11'!$Z$190</definedName>
    <definedName name="SIS064_F_Priskaitytosba1Elektrosenergi6">'[1]Forma 11'!$AC$190</definedName>
    <definedName name="SIS064_F_Privalomovarto1Elektrosenergi5">'[1]Forma 11'!$Z$166</definedName>
    <definedName name="SIS064_F_Privalomovarto1Elektrosenergi6">'[1]Forma 11'!$AC$166</definedName>
    <definedName name="SIS064_F_Profesineliter1Elektrosenergi5">'[1]Forma 11'!$Z$158</definedName>
    <definedName name="SIS064_F_Profesineliter1Elektrosenergi6">'[1]Forma 11'!$AC$158</definedName>
    <definedName name="SIS064_F_Programinesira1Elektrosenergi5">'[1]Forma 11'!$Z$73</definedName>
    <definedName name="SIS064_F_Programinesira1Elektrosenergi6">'[1]Forma 11'!$AC$73</definedName>
    <definedName name="SIS064_F_Reklamospaslau1Elektrosenergi5">'[1]Forma 11'!$Z$165</definedName>
    <definedName name="SIS064_F_Reklamospaslau1Elektrosenergi6">'[1]Forma 11'!$AC$165</definedName>
    <definedName name="SIS064_F_Reprezentacijo1Elektrosenergi5">'[1]Forma 11'!$Z$171</definedName>
    <definedName name="SIS064_F_Reprezentacijo1Elektrosenergi6">'[1]Forma 11'!$AC$171</definedName>
    <definedName name="SIS064_F_Rezervinesgali1Elektrosenergi5">'[1]Forma 11'!$Z$192</definedName>
    <definedName name="SIS064_F_Rezervinesgali1Elektrosenergi6">'[1]Forma 11'!$AC$192</definedName>
    <definedName name="SIS064_F_Rezerviniokuro1Elektrosenergi5">'[1]Forma 11'!$Z$111</definedName>
    <definedName name="SIS064_F_Rezerviniokuro1Elektrosenergi6">'[1]Forma 11'!$AC$111</definedName>
    <definedName name="SIS064_F_Rinkostyrimusa1Elektrosenergi5">'[1]Forma 11'!$Z$168</definedName>
    <definedName name="SIS064_F_Rinkostyrimusa1Elektrosenergi6">'[1]Forma 11'!$AC$168</definedName>
    <definedName name="SIS064_F_Rysiupaslaugos1Elektrosenergi5">'[1]Forma 11'!$Z$154</definedName>
    <definedName name="SIS064_F_Rysiupaslaugos1Elektrosenergi6">'[1]Forma 11'!$AC$154</definedName>
    <definedName name="SIS064_F_Saskaituvartot1Elektrosenergi5">'[1]Forma 11'!$Z$169</definedName>
    <definedName name="SIS064_F_Saskaituvartot1Elektrosenergi6">'[1]Forma 11'!$AC$169</definedName>
    <definedName name="SIS064_F_Siaudiuisigiji1Elektrosenergi5">'[1]Forma 11'!$Z$44</definedName>
    <definedName name="SIS064_F_Siaudiuisigiji1Elektrosenergi6">'[1]Forma 11'!$AC$44</definedName>
    <definedName name="SIS064_F_Silumosisigiji2Elektrosenergi5">'[1]Forma 11'!$Z$24</definedName>
    <definedName name="SIS064_F_Silumosisigiji2Elektrosenergi6">'[1]Forma 11'!$AC$24</definedName>
    <definedName name="SIS064_F_Silumospunktue1Elektrosenergi5">'[1]Forma 11'!$Z$100</definedName>
    <definedName name="SIS064_F_Silumospunktue1Elektrosenergi6">'[1]Forma 11'!$AC$100</definedName>
    <definedName name="SIS064_F_Silumosukiotur2Elektrosenergi5">'[1]Forma 11'!$Z$176</definedName>
    <definedName name="SIS064_F_Silumosukiotur2Elektrosenergi6">'[1]Forma 11'!$AC$176</definedName>
    <definedName name="SIS064_F_Skalunualyvosi1Elektrosenergi5">'[1]Forma 11'!$Z$39</definedName>
    <definedName name="SIS064_F_Skalunualyvosi1Elektrosenergi6">'[1]Forma 11'!$AC$39</definedName>
    <definedName name="SIS064_F_Skoluisieskoji1Elektrosenergi5">'[1]Forma 11'!$Z$184</definedName>
    <definedName name="SIS064_F_Skoluisieskoji1Elektrosenergi6">'[1]Forma 11'!$AC$184</definedName>
    <definedName name="SIS064_F_Suskystintuduj1Elektrosenergi5">'[1]Forma 11'!$Z$41</definedName>
    <definedName name="SIS064_F_Suskystintuduj1Elektrosenergi6">'[1]Forma 11'!$AC$41</definedName>
    <definedName name="SIS064_F_Svietimoirkons1Elektrosenergi5">'[1]Forma 11'!$Z$172</definedName>
    <definedName name="SIS064_F_Svietimoirkons1Elektrosenergi6">'[1]Forma 11'!$AC$172</definedName>
    <definedName name="SIS064_F_Tantjemos1Elektrosenergi5">'[1]Forma 11'!$Z$191</definedName>
    <definedName name="SIS064_F_Tantjemos1Elektrosenergi6">'[1]Forma 11'!$AC$191</definedName>
    <definedName name="SIS064_F_Teisinespaslau1Elektrosenergi5">'[1]Forma 11'!$Z$152</definedName>
    <definedName name="SIS064_F_Teisinespaslau1Elektrosenergi6">'[1]Forma 11'!$AC$152</definedName>
    <definedName name="SIS064_F_Tinklueinamojo1Elektrosenergi5">'[1]Forma 11'!$Z$99</definedName>
    <definedName name="SIS064_F_Tinklueinamojo1Elektrosenergi6">'[1]Forma 11'!$AC$99</definedName>
    <definedName name="SIS064_F_Transportoprie1Elektrosenergi5">'[1]Forma 11'!$Z$93</definedName>
    <definedName name="SIS064_F_Transportoprie1Elektrosenergi6">'[1]Forma 11'!$AC$93</definedName>
    <definedName name="SIS064_F_Transportoprie2Elektrosenergi5">'[1]Forma 11'!$Z$115</definedName>
    <definedName name="SIS064_F_Transportoprie2Elektrosenergi6">'[1]Forma 11'!$AC$115</definedName>
    <definedName name="SIS064_F_Transportoprie3Elektrosenergi5">'[1]Forma 11'!$Z$116</definedName>
    <definedName name="SIS064_F_Transportoprie3Elektrosenergi6">'[1]Forma 11'!$AC$116</definedName>
    <definedName name="SIS064_F_Turtodraudimos1Elektrosenergi5">'[1]Forma 11'!$Z$179</definedName>
    <definedName name="SIS064_F_Turtodraudimos1Elektrosenergi6">'[1]Forma 11'!$AC$179</definedName>
    <definedName name="SIS064_F_Turtonuomosnes1Elektrosenergi5">'[1]Forma 11'!$Z$113</definedName>
    <definedName name="SIS064_F_Turtonuomosnes1Elektrosenergi6">'[1]Forma 11'!$AC$113</definedName>
    <definedName name="SIS064_F_Valstybiniuist1Elektrosenergi5">'[1]Forma 11'!$Z$141</definedName>
    <definedName name="SIS064_F_Valstybiniuist1Elektrosenergi6">'[1]Forma 11'!$AC$141</definedName>
    <definedName name="SIS064_F_Vandenstechnol2Elektrosenergi5">'[1]Forma 11'!$Z$54</definedName>
    <definedName name="SIS064_F_Vandenstechnol2Elektrosenergi6">'[1]Forma 11'!$AC$54</definedName>
    <definedName name="SIS064_F_Vartotojumokej1Elektrosenergi5">'[1]Forma 11'!$Z$170</definedName>
    <definedName name="SIS064_F_Vartotojumokej1Elektrosenergi6">'[1]Forma 11'!$AC$170</definedName>
    <definedName name="SIS064_F_Veiklosrizikos1Elektrosenergi5">'[1]Forma 11'!$Z$180</definedName>
    <definedName name="SIS064_F_Veiklosrizikos1Elektrosenergi6">'[1]Forma 11'!$AC$180</definedName>
    <definedName name="SIS064_F_Zemesmokescios1Elektrosenergi5">'[1]Forma 11'!$Z$138</definedName>
    <definedName name="SIS064_F_Zemesmokescios1Elektrosenergi6">'[1]Forma 11'!$AC$138</definedName>
    <definedName name="SIS064_F_Zyminiomokesci1Elektrosenergi5">'[1]Forma 11'!$Z$142</definedName>
    <definedName name="SIS064_F_Zyminiomokesci1Elektrosenergi6">'[1]Forma 11'!$AC$142</definedName>
    <definedName name="SIS065_F_Administracijo1Geriamojovande1">'[1]Forma 12'!$X$128</definedName>
    <definedName name="SIS065_F_Administracijo1Konkurencinesi1">'[1]Forma 12'!$AA$128</definedName>
    <definedName name="SIS065_F_Administracijo1Paslaugaproduk8">'[1]Forma 12'!$Y$128</definedName>
    <definedName name="SIS065_F_Administracijo1Paslaugaproduk9">'[1]Forma 12'!$AB$128</definedName>
    <definedName name="SIS065_F_Administracine1Geriamojovande1">'[1]Forma 12'!$X$78</definedName>
    <definedName name="SIS065_F_Administracine1Konkurencinesi1">'[1]Forma 12'!$AA$78</definedName>
    <definedName name="SIS065_F_Administracine1Paslaugaproduk8">'[1]Forma 12'!$Y$78</definedName>
    <definedName name="SIS065_F_Administracine1Paslaugaproduk9">'[1]Forma 12'!$AB$78</definedName>
    <definedName name="SIS065_F_Akmensangliesi1Geriamojovande1">'[1]Forma 12'!$X$38</definedName>
    <definedName name="SIS065_F_Akmensangliesi1Konkurencinesi1">'[1]Forma 12'!$AA$38</definedName>
    <definedName name="SIS065_F_Akmensangliesi1Paslaugaproduk8">'[1]Forma 12'!$Y$38</definedName>
    <definedName name="SIS065_F_Akmensangliesi1Paslaugaproduk9">'[1]Forma 12'!$AB$38</definedName>
    <definedName name="SIS065_F_Apyvartiniutar2Geriamojovande1">'[1]Forma 12'!$X$54</definedName>
    <definedName name="SIS065_F_Apyvartiniutar2Konkurencinesi1">'[1]Forma 12'!$AA$54</definedName>
    <definedName name="SIS065_F_Apyvartiniutar2Paslaugaproduk8">'[1]Forma 12'!$Y$54</definedName>
    <definedName name="SIS065_F_Apyvartiniutar2Paslaugaproduk9">'[1]Forma 12'!$AB$54</definedName>
    <definedName name="SIS065_F_Aplinkostarsos1Geriamojovande1">'[1]Forma 12'!$X$136</definedName>
    <definedName name="SIS065_F_Aplinkostarsos1Konkurencinesi1">'[1]Forma 12'!$AA$136</definedName>
    <definedName name="SIS065_F_Aplinkostarsos1Paslaugaproduk8">'[1]Forma 12'!$Y$136</definedName>
    <definedName name="SIS065_F_Aplinkostarsos1Paslaugaproduk9">'[1]Forma 12'!$AB$136</definedName>
    <definedName name="SIS065_F_Apsauginiaiird1Geriamojovande1">'[1]Forma 12'!$X$126</definedName>
    <definedName name="SIS065_F_Apsauginiaiird1Konkurencinesi1">'[1]Forma 12'!$AA$126</definedName>
    <definedName name="SIS065_F_Apsauginiaiird1Paslaugaproduk8">'[1]Forma 12'!$Y$126</definedName>
    <definedName name="SIS065_F_Apsauginiaiird1Paslaugaproduk9">'[1]Forma 12'!$AB$126</definedName>
    <definedName name="SIS065_F_Atliekinessilu1Geriamojovande1">'[1]Forma 12'!$X$21</definedName>
    <definedName name="SIS065_F_Atliekinessilu1Konkurencinesi1">'[1]Forma 12'!$AA$21</definedName>
    <definedName name="SIS065_F_Atliekinessilu1Paslaugaproduk8">'[1]Forma 12'!$Y$21</definedName>
    <definedName name="SIS065_F_Atliekinessilu1Paslaugaproduk9">'[1]Forma 12'!$AB$21</definedName>
    <definedName name="SIS065_F_Atsiskaitomuju1Geriamojovande1">'[1]Forma 12'!$X$104</definedName>
    <definedName name="SIS065_F_Atsiskaitomuju1Konkurencinesi1">'[1]Forma 12'!$AA$104</definedName>
    <definedName name="SIS065_F_Atsiskaitomuju1Paslaugaproduk8">'[1]Forma 12'!$Y$104</definedName>
    <definedName name="SIS065_F_Atsiskaitomuju1Paslaugaproduk9">'[1]Forma 12'!$AB$104</definedName>
    <definedName name="SIS065_F_Auditofinansin1Geriamojovande1">'[1]Forma 12'!$X$177</definedName>
    <definedName name="SIS065_F_Auditofinansin1Konkurencinesi1">'[1]Forma 12'!$AA$177</definedName>
    <definedName name="SIS065_F_Auditofinansin1Paslaugaproduk8">'[1]Forma 12'!$Y$177</definedName>
    <definedName name="SIS065_F_Auditofinansin1Paslaugaproduk9">'[1]Forma 12'!$AB$177</definedName>
    <definedName name="SIS065_F_Auditokitosana1Geriamojovande1">'[1]Forma 12'!$X$179</definedName>
    <definedName name="SIS065_F_Auditokitosana1Konkurencinesi1">'[1]Forma 12'!$AA$179</definedName>
    <definedName name="SIS065_F_Auditokitosana1Paslaugaproduk8">'[1]Forma 12'!$Y$179</definedName>
    <definedName name="SIS065_F_Auditokitosana1Paslaugaproduk9">'[1]Forma 12'!$AB$179</definedName>
    <definedName name="SIS065_F_Auditoreguliuo1Geriamojovande1">'[1]Forma 12'!$X$178</definedName>
    <definedName name="SIS065_F_Auditoreguliuo1Konkurencinesi1">'[1]Forma 12'!$AA$178</definedName>
    <definedName name="SIS065_F_Auditoreguliuo1Paslaugaproduk8">'[1]Forma 12'!$Y$178</definedName>
    <definedName name="SIS065_F_Auditoreguliuo1Paslaugaproduk9">'[1]Forma 12'!$AB$178</definedName>
    <definedName name="SIS065_F_Balansavimoauk1Geriamojovande1">'[1]Forma 12'!$X$22</definedName>
    <definedName name="SIS065_F_Balansavimoauk1Konkurencinesi1">'[1]Forma 12'!$AA$22</definedName>
    <definedName name="SIS065_F_Balansavimoauk1Paslaugaproduk8">'[1]Forma 12'!$Y$22</definedName>
    <definedName name="SIS065_F_Balansavimoauk1Paslaugaproduk9">'[1]Forma 12'!$AB$22</definedName>
    <definedName name="SIS065_F_Balansavimosan1Geriamojovande1">'[1]Forma 12'!$X$24</definedName>
    <definedName name="SIS065_F_Balansavimosan1Konkurencinesi1">'[1]Forma 12'!$AA$24</definedName>
    <definedName name="SIS065_F_Balansavimosan1Paslaugaproduk8">'[1]Forma 12'!$Y$24</definedName>
    <definedName name="SIS065_F_Balansavimosan1Paslaugaproduk9">'[1]Forma 12'!$AB$24</definedName>
    <definedName name="SIS065_F_Bankopaslauguk1Geriamojovande1">'[1]Forma 12'!$X$142</definedName>
    <definedName name="SIS065_F_Bankopaslauguk1Konkurencinesi1">'[1]Forma 12'!$AA$142</definedName>
    <definedName name="SIS065_F_Bankopaslauguk1Paslaugaproduk8">'[1]Forma 12'!$Y$142</definedName>
    <definedName name="SIS065_F_Bankopaslauguk1Paslaugaproduk9">'[1]Forma 12'!$AB$142</definedName>
    <definedName name="SIS065_F_Beviltiskossko1Geriamojovande1">'[1]Forma 12'!$X$185</definedName>
    <definedName name="SIS065_F_Beviltiskossko1Konkurencinesi1">'[1]Forma 12'!$AA$185</definedName>
    <definedName name="SIS065_F_Beviltiskossko1Paslaugaproduk8">'[1]Forma 12'!$Y$185</definedName>
    <definedName name="SIS065_F_Beviltiskossko1Paslaugaproduk9">'[1]Forma 12'!$AB$185</definedName>
    <definedName name="SIS065_F_Biodujuisigiji1Geriamojovande1">'[1]Forma 12'!$X$39</definedName>
    <definedName name="SIS065_F_Biodujuisigiji1Konkurencinesi1">'[1]Forma 12'!$AA$39</definedName>
    <definedName name="SIS065_F_Biodujuisigiji1Paslaugaproduk8">'[1]Forma 12'!$Y$39</definedName>
    <definedName name="SIS065_F_Biodujuisigiji1Paslaugaproduk9">'[1]Forma 12'!$AB$39</definedName>
    <definedName name="SIS065_F_Cheminesmedzia1Geriamojovande1">'[1]Forma 12'!$X$62</definedName>
    <definedName name="SIS065_F_Cheminesmedzia1Konkurencinesi1">'[1]Forma 12'!$AA$62</definedName>
    <definedName name="SIS065_F_Cheminesmedzia1Paslaugaproduk8">'[1]Forma 12'!$Y$62</definedName>
    <definedName name="SIS065_F_Cheminesmedzia1Paslaugaproduk9">'[1]Forma 12'!$AB$62</definedName>
    <definedName name="SIS065_F_Darbdavioimoku1Geriamojovande1">'[1]Forma 12'!$X$122</definedName>
    <definedName name="SIS065_F_Darbdavioimoku1Konkurencinesi1">'[1]Forma 12'!$AA$122</definedName>
    <definedName name="SIS065_F_Darbdavioimoku1Paslaugaproduk8">'[1]Forma 12'!$Y$122</definedName>
    <definedName name="SIS065_F_Darbdavioimoku1Paslaugaproduk9">'[1]Forma 12'!$AB$122</definedName>
    <definedName name="SIS065_F_Darbouzmokesci1Geriamojovande1">'[1]Forma 12'!$X$121</definedName>
    <definedName name="SIS065_F_Darbouzmokesci1Konkurencinesi1">'[1]Forma 12'!$AA$121</definedName>
    <definedName name="SIS065_F_Darbouzmokesci1Paslaugaproduk8">'[1]Forma 12'!$Y$121</definedName>
    <definedName name="SIS065_F_Darbouzmokesci1Paslaugaproduk9">'[1]Forma 12'!$AB$121</definedName>
    <definedName name="SIS065_F_Dyzelinoisigij1Geriamojovande1">'[1]Forma 12'!$X$36</definedName>
    <definedName name="SIS065_F_Dyzelinoisigij1Konkurencinesi1">'[1]Forma 12'!$AA$36</definedName>
    <definedName name="SIS065_F_Dyzelinoisigij1Paslaugaproduk8">'[1]Forma 12'!$Y$36</definedName>
    <definedName name="SIS065_F_Dyzelinoisigij1Paslaugaproduk9">'[1]Forma 12'!$AB$36</definedName>
    <definedName name="SIS065_F_Durpiuisigijim1Geriamojovande1">'[1]Forma 12'!$X$41</definedName>
    <definedName name="SIS065_F_Durpiuisigijim1Konkurencinesi1">'[1]Forma 12'!$AA$41</definedName>
    <definedName name="SIS065_F_Durpiuisigijim1Paslaugaproduk8">'[1]Forma 12'!$Y$41</definedName>
    <definedName name="SIS065_F_Durpiuisigijim1Paslaugaproduk9">'[1]Forma 12'!$AB$41</definedName>
    <definedName name="SIS065_F_Elektrosenergi4Geriamojovande1">'[1]Forma 12'!$X$47</definedName>
    <definedName name="SIS065_F_Elektrosenergi4Konkurencinesi1">'[1]Forma 12'!$AA$47</definedName>
    <definedName name="SIS065_F_Elektrosenergi4Paslaugaproduk8">'[1]Forma 12'!$Y$47</definedName>
    <definedName name="SIS065_F_Elektrosenergi4Paslaugaproduk9">'[1]Forma 12'!$AB$47</definedName>
    <definedName name="SIS065_F_Energetikosist1Geriamojovande1">'[1]Forma 12'!$X$139</definedName>
    <definedName name="SIS065_F_Energetikosist1Konkurencinesi1">'[1]Forma 12'!$AA$139</definedName>
    <definedName name="SIS065_F_Energetikosist1Paslaugaproduk8">'[1]Forma 12'!$Y$139</definedName>
    <definedName name="SIS065_F_Energetikosist1Paslaugaproduk9">'[1]Forma 12'!$AB$139</definedName>
    <definedName name="SIS065_F_Energijosistek1Geriamojovande1">'[1]Forma 12'!$X$59</definedName>
    <definedName name="SIS065_F_Energijosistek1Konkurencinesi1">'[1]Forma 12'!$AA$59</definedName>
    <definedName name="SIS065_F_Energijosistek1Paslaugaproduk8">'[1]Forma 12'!$Y$59</definedName>
    <definedName name="SIS065_F_Energijosistek1Paslaugaproduk9">'[1]Forma 12'!$AB$59</definedName>
    <definedName name="SIS065_F_Gamybinespaski1Geriamojovande1">'[1]Forma 12'!$X$71</definedName>
    <definedName name="SIS065_F_Gamybinespaski1Konkurencinesi1">'[1]Forma 12'!$AA$71</definedName>
    <definedName name="SIS065_F_Gamybinespaski1Paslaugaproduk8">'[1]Forma 12'!$Y$71</definedName>
    <definedName name="SIS065_F_Gamybinespaski1Paslaugaproduk9">'[1]Forma 12'!$AB$71</definedName>
    <definedName name="SIS065_F_Gamybinespaski2Geriamojovande1">'[1]Forma 12'!$X$72</definedName>
    <definedName name="SIS065_F_Gamybinespaski2Konkurencinesi1">'[1]Forma 12'!$AA$72</definedName>
    <definedName name="SIS065_F_Gamybinespaski2Paslaugaproduk8">'[1]Forma 12'!$Y$72</definedName>
    <definedName name="SIS065_F_Gamybinespaski2Paslaugaproduk9">'[1]Forma 12'!$AB$72</definedName>
    <definedName name="SIS065_F_Gamybinespaski3Geriamojovande1">'[1]Forma 12'!$X$73</definedName>
    <definedName name="SIS065_F_Gamybinespaski3Konkurencinesi1">'[1]Forma 12'!$AA$73</definedName>
    <definedName name="SIS065_F_Gamybinespaski3Paslaugaproduk8">'[1]Forma 12'!$Y$73</definedName>
    <definedName name="SIS065_F_Gamybinespaski3Paslaugaproduk9">'[1]Forma 12'!$AB$73</definedName>
    <definedName name="SIS065_F_Gamybosobjektu1Geriamojovande1">'[1]Forma 12'!$X$94</definedName>
    <definedName name="SIS065_F_Gamybosobjektu1Konkurencinesi1">'[1]Forma 12'!$AA$94</definedName>
    <definedName name="SIS065_F_Gamybosobjektu1Paslaugaproduk8">'[1]Forma 12'!$Y$94</definedName>
    <definedName name="SIS065_F_Gamybosobjektu1Paslaugaproduk9">'[1]Forma 12'!$AB$94</definedName>
    <definedName name="SIS065_F_Gamtiniudujubi1Geriamojovande1">'[1]Forma 12'!$X$60</definedName>
    <definedName name="SIS065_F_Gamtiniudujubi1Konkurencinesi1">'[1]Forma 12'!$AA$60</definedName>
    <definedName name="SIS065_F_Gamtiniudujubi1Paslaugaproduk8">'[1]Forma 12'!$Y$60</definedName>
    <definedName name="SIS065_F_Gamtiniudujubi1Paslaugaproduk9">'[1]Forma 12'!$AB$60</definedName>
    <definedName name="SIS065_F_Gamtiniudujuis1Geriamojovande1">'[1]Forma 12'!$X$27</definedName>
    <definedName name="SIS065_F_Gamtiniudujuis1Konkurencinesi1">'[1]Forma 12'!$AA$27</definedName>
    <definedName name="SIS065_F_Gamtiniudujuis1Paslaugaproduk8">'[1]Forma 12'!$Y$27</definedName>
    <definedName name="SIS065_F_Gamtiniudujuis1Paslaugaproduk9">'[1]Forma 12'!$AB$27</definedName>
    <definedName name="SIS065_F_Investiciniotu1Geriamojovande1">'[1]Forma 12'!$X$91</definedName>
    <definedName name="SIS065_F_Investiciniotu1Konkurencinesi1">'[1]Forma 12'!$AA$91</definedName>
    <definedName name="SIS065_F_Investiciniotu1Paslaugaproduk8">'[1]Forma 12'!$Y$91</definedName>
    <definedName name="SIS065_F_Investiciniotu1Paslaugaproduk9">'[1]Forma 12'!$AB$91</definedName>
    <definedName name="SIS065_F_Iseitinespasal1Geriamojovande1">'[1]Forma 12'!$X$125</definedName>
    <definedName name="SIS065_F_Iseitinespasal1Konkurencinesi1">'[1]Forma 12'!$AA$125</definedName>
    <definedName name="SIS065_F_Iseitinespasal1Paslaugaproduk8">'[1]Forma 12'!$Y$125</definedName>
    <definedName name="SIS065_F_Iseitinespasal1Paslaugaproduk9">'[1]Forma 12'!$AB$125</definedName>
    <definedName name="SIS065_F_Itaptarnavimos1Geriamojovande1">'[1]Forma 12'!$X$97</definedName>
    <definedName name="SIS065_F_Itaptarnavimos1Konkurencinesi1">'[1]Forma 12'!$AA$97</definedName>
    <definedName name="SIS065_F_Itaptarnavimos1Paslaugaproduk8">'[1]Forma 12'!$Y$97</definedName>
    <definedName name="SIS065_F_Itaptarnavimos1Paslaugaproduk9">'[1]Forma 12'!$AB$97</definedName>
    <definedName name="SIS065_F_Kanceliariness1Geriamojovande1">'[1]Forma 12'!$X$152</definedName>
    <definedName name="SIS065_F_Kanceliariness1Konkurencinesi1">'[1]Forma 12'!$AA$152</definedName>
    <definedName name="SIS065_F_Kanceliariness1Paslaugaproduk8">'[1]Forma 12'!$Y$152</definedName>
    <definedName name="SIS065_F_Kanceliariness1Paslaugaproduk9">'[1]Forma 12'!$AB$152</definedName>
    <definedName name="SIS065_F_Kelionessanaud1Geriamojovande1">'[1]Forma 12'!$X$127</definedName>
    <definedName name="SIS065_F_Kelionessanaud1Konkurencinesi1">'[1]Forma 12'!$AA$127</definedName>
    <definedName name="SIS065_F_Kelionessanaud1Paslaugaproduk8">'[1]Forma 12'!$Y$127</definedName>
    <definedName name="SIS065_F_Kelionessanaud1Paslaugaproduk9">'[1]Forma 12'!$AB$127</definedName>
    <definedName name="SIS065_F_Kitoilgalaikio1Geriamojovande1">'[1]Forma 12'!$X$92</definedName>
    <definedName name="SIS065_F_Kitoilgalaikio1Konkurencinesi1">'[1]Forma 12'!$AA$92</definedName>
    <definedName name="SIS065_F_Kitoilgalaikio1Paslaugaproduk8">'[1]Forma 12'!$Y$92</definedName>
    <definedName name="SIS065_F_Kitoilgalaikio1Paslaugaproduk9">'[1]Forma 12'!$AB$92</definedName>
    <definedName name="SIS065_F_Kitomaterialau1Geriamojovande1">'[1]Forma 12'!$X$90</definedName>
    <definedName name="SIS065_F_Kitomaterialau1Konkurencinesi1">'[1]Forma 12'!$AA$90</definedName>
    <definedName name="SIS065_F_Kitomaterialau1Paslaugaproduk8">'[1]Forma 12'!$Y$90</definedName>
    <definedName name="SIS065_F_Kitomaterialau1Paslaugaproduk9">'[1]Forma 12'!$AB$90</definedName>
    <definedName name="SIS065_F_Kitonematerial1Geriamojovande1">'[1]Forma 12'!$X$70</definedName>
    <definedName name="SIS065_F_Kitonematerial1Konkurencinesi1">'[1]Forma 12'!$AA$70</definedName>
    <definedName name="SIS065_F_Kitonematerial1Paslaugaproduk8">'[1]Forma 12'!$Y$70</definedName>
    <definedName name="SIS065_F_Kitonematerial1Paslaugaproduk9">'[1]Forma 12'!$AB$70</definedName>
    <definedName name="SIS065_F_Kitosadministr1Geriamojovande1">'[1]Forma 12'!$X$157</definedName>
    <definedName name="SIS065_F_Kitosadministr1Konkurencinesi1">'[1]Forma 12'!$AA$157</definedName>
    <definedName name="SIS065_F_Kitosadministr1Paslaugaproduk8">'[1]Forma 12'!$Y$157</definedName>
    <definedName name="SIS065_F_Kitosadministr1Paslaugaproduk9">'[1]Forma 12'!$AB$157</definedName>
    <definedName name="SIS065_F_Kitosadministr2Geriamojovande1">'[1]Forma 12'!$X$158</definedName>
    <definedName name="SIS065_F_Kitosadministr2Konkurencinesi1">'[1]Forma 12'!$AA$158</definedName>
    <definedName name="SIS065_F_Kitosadministr2Paslaugaproduk8">'[1]Forma 12'!$Y$158</definedName>
    <definedName name="SIS065_F_Kitosadministr2Paslaugaproduk9">'[1]Forma 12'!$AB$158</definedName>
    <definedName name="SIS065_F_Kitosadministr3Geriamojovande1">'[1]Forma 12'!$X$159</definedName>
    <definedName name="SIS065_F_Kitosadministr3Konkurencinesi1">'[1]Forma 12'!$AA$159</definedName>
    <definedName name="SIS065_F_Kitosadministr3Paslaugaproduk8">'[1]Forma 12'!$Y$159</definedName>
    <definedName name="SIS065_F_Kitosadministr3Paslaugaproduk9">'[1]Forma 12'!$AB$159</definedName>
    <definedName name="SIS065_F_Kitoseinamojor1Geriamojovande1">'[1]Forma 12'!$X$115</definedName>
    <definedName name="SIS065_F_Kitoseinamojor1Konkurencinesi1">'[1]Forma 12'!$AA$115</definedName>
    <definedName name="SIS065_F_Kitoseinamojor1Paslaugaproduk8">'[1]Forma 12'!$Y$115</definedName>
    <definedName name="SIS065_F_Kitoseinamojor1Paslaugaproduk9">'[1]Forma 12'!$AB$115</definedName>
    <definedName name="SIS065_F_Kitoseinamojor2Geriamojovande1">'[1]Forma 12'!$X$116</definedName>
    <definedName name="SIS065_F_Kitoseinamojor2Konkurencinesi1">'[1]Forma 12'!$AA$116</definedName>
    <definedName name="SIS065_F_Kitoseinamojor2Paslaugaproduk8">'[1]Forma 12'!$Y$116</definedName>
    <definedName name="SIS065_F_Kitoseinamojor2Paslaugaproduk9">'[1]Forma 12'!$AB$116</definedName>
    <definedName name="SIS065_F_Kitoseinamojor3Geriamojovande1">'[1]Forma 12'!$X$117</definedName>
    <definedName name="SIS065_F_Kitoseinamojor3Konkurencinesi1">'[1]Forma 12'!$AA$117</definedName>
    <definedName name="SIS065_F_Kitoseinamojor3Paslaugaproduk8">'[1]Forma 12'!$Y$117</definedName>
    <definedName name="SIS065_F_Kitoseinamojor3Paslaugaproduk9">'[1]Forma 12'!$AB$117</definedName>
    <definedName name="SIS065_F_Kitoseinamojor4Geriamojovande1">'[1]Forma 12'!$X$118</definedName>
    <definedName name="SIS065_F_Kitoseinamojor4Konkurencinesi1">'[1]Forma 12'!$AA$118</definedName>
    <definedName name="SIS065_F_Kitoseinamojor4Paslaugaproduk8">'[1]Forma 12'!$Y$118</definedName>
    <definedName name="SIS065_F_Kitoseinamojor4Paslaugaproduk9">'[1]Forma 12'!$AB$118</definedName>
    <definedName name="SIS065_F_Kitoseinamojor5Geriamojovande1">'[1]Forma 12'!$X$119</definedName>
    <definedName name="SIS065_F_Kitoseinamojor5Konkurencinesi1">'[1]Forma 12'!$AA$119</definedName>
    <definedName name="SIS065_F_Kitoseinamojor5Paslaugaproduk8">'[1]Forma 12'!$Y$119</definedName>
    <definedName name="SIS065_F_Kitoseinamojor5Paslaugaproduk9">'[1]Forma 12'!$AB$119</definedName>
    <definedName name="SIS065_F_Kitosfinansine1Geriamojovande1">'[1]Forma 12'!$X$145</definedName>
    <definedName name="SIS065_F_Kitosfinansine1Konkurencinesi1">'[1]Forma 12'!$AA$145</definedName>
    <definedName name="SIS065_F_Kitosfinansine1Paslaugaproduk8">'[1]Forma 12'!$Y$145</definedName>
    <definedName name="SIS065_F_Kitosfinansine1Paslaugaproduk9">'[1]Forma 12'!$AB$145</definedName>
    <definedName name="SIS065_F_Kitosfinansine2Geriamojovande1">'[1]Forma 12'!$X$146</definedName>
    <definedName name="SIS065_F_Kitosfinansine2Konkurencinesi1">'[1]Forma 12'!$AA$146</definedName>
    <definedName name="SIS065_F_Kitosfinansine2Paslaugaproduk8">'[1]Forma 12'!$Y$146</definedName>
    <definedName name="SIS065_F_Kitosfinansine2Paslaugaproduk9">'[1]Forma 12'!$AB$146</definedName>
    <definedName name="SIS065_F_Kitosirangospr1Geriamojovande1">'[1]Forma 12'!$X$80</definedName>
    <definedName name="SIS065_F_Kitosirangospr1Konkurencinesi1">'[1]Forma 12'!$AA$80</definedName>
    <definedName name="SIS065_F_Kitosirangospr1Paslaugaproduk8">'[1]Forma 12'!$Y$80</definedName>
    <definedName name="SIS065_F_Kitosirangospr1Paslaugaproduk9">'[1]Forma 12'!$AB$80</definedName>
    <definedName name="SIS065_F_Kitosirangospr2Geriamojovande1">'[1]Forma 12'!$X$86</definedName>
    <definedName name="SIS065_F_Kitosirangospr2Konkurencinesi1">'[1]Forma 12'!$AA$86</definedName>
    <definedName name="SIS065_F_Kitosirangospr2Paslaugaproduk8">'[1]Forma 12'!$Y$86</definedName>
    <definedName name="SIS065_F_Kitosirangospr2Paslaugaproduk9">'[1]Forma 12'!$AB$86</definedName>
    <definedName name="SIS065_F_Kitosirangospr3Geriamojovande1">'[1]Forma 12'!$X$87</definedName>
    <definedName name="SIS065_F_Kitosirangospr3Konkurencinesi1">'[1]Forma 12'!$AA$87</definedName>
    <definedName name="SIS065_F_Kitosirangospr3Paslaugaproduk8">'[1]Forma 12'!$Y$87</definedName>
    <definedName name="SIS065_F_Kitosirangospr3Paslaugaproduk9">'[1]Forma 12'!$AB$87</definedName>
    <definedName name="SIS065_F_Kitosirangospr4Geriamojovande1">'[1]Forma 12'!$X$88</definedName>
    <definedName name="SIS065_F_Kitosirangospr4Konkurencinesi1">'[1]Forma 12'!$AA$88</definedName>
    <definedName name="SIS065_F_Kitosirangospr4Paslaugaproduk8">'[1]Forma 12'!$Y$88</definedName>
    <definedName name="SIS065_F_Kitosirangospr4Paslaugaproduk9">'[1]Forma 12'!$AB$88</definedName>
    <definedName name="SIS065_F_Kitoskintamosi2Geriamojovande1">'[1]Forma 12'!$X$63</definedName>
    <definedName name="SIS065_F_Kitoskintamosi2Konkurencinesi1">'[1]Forma 12'!$AA$63</definedName>
    <definedName name="SIS065_F_Kitoskintamosi2Paslaugaproduk8">'[1]Forma 12'!$Y$63</definedName>
    <definedName name="SIS065_F_Kitoskintamosi2Paslaugaproduk9">'[1]Forma 12'!$AB$63</definedName>
    <definedName name="SIS065_F_Kitoskintamosi3Geriamojovande1">'[1]Forma 12'!$X$64</definedName>
    <definedName name="SIS065_F_Kitoskintamosi3Konkurencinesi1">'[1]Forma 12'!$AA$64</definedName>
    <definedName name="SIS065_F_Kitoskintamosi3Paslaugaproduk8">'[1]Forma 12'!$Y$64</definedName>
    <definedName name="SIS065_F_Kitoskintamosi3Paslaugaproduk9">'[1]Forma 12'!$AB$64</definedName>
    <definedName name="SIS065_F_Kitoskurorusie1Geriamojovande1">'[1]Forma 12'!$X$42</definedName>
    <definedName name="SIS065_F_Kitoskurorusie1Konkurencinesi1">'[1]Forma 12'!$AA$42</definedName>
    <definedName name="SIS065_F_Kitoskurorusie1Paslaugaproduk8">'[1]Forma 12'!$Y$42</definedName>
    <definedName name="SIS065_F_Kitoskurorusie1Paslaugaproduk9">'[1]Forma 12'!$AB$42</definedName>
    <definedName name="SIS065_F_Kitoskurorusie2Geriamojovande1">'[1]Forma 12'!$X$43</definedName>
    <definedName name="SIS065_F_Kitoskurorusie2Konkurencinesi1">'[1]Forma 12'!$AA$43</definedName>
    <definedName name="SIS065_F_Kitoskurorusie2Paslaugaproduk8">'[1]Forma 12'!$Y$43</definedName>
    <definedName name="SIS065_F_Kitoskurorusie2Paslaugaproduk9">'[1]Forma 12'!$AB$43</definedName>
    <definedName name="SIS065_F_Kitoskurorusie3Geriamojovande1">'[1]Forma 12'!$X$44</definedName>
    <definedName name="SIS065_F_Kitoskurorusie3Konkurencinesi1">'[1]Forma 12'!$AA$44</definedName>
    <definedName name="SIS065_F_Kitoskurorusie3Paslaugaproduk8">'[1]Forma 12'!$Y$44</definedName>
    <definedName name="SIS065_F_Kitoskurorusie3Paslaugaproduk9">'[1]Forma 12'!$AB$44</definedName>
    <definedName name="SIS065_F_Kitospaskirtie1Geriamojovande1">'[1]Forma 12'!$X$74</definedName>
    <definedName name="SIS065_F_Kitospaskirtie1Konkurencinesi1">'[1]Forma 12'!$AA$74</definedName>
    <definedName name="SIS065_F_Kitospaskirtie1Paslaugaproduk8">'[1]Forma 12'!$Y$74</definedName>
    <definedName name="SIS065_F_Kitospaskirtie1Paslaugaproduk9">'[1]Forma 12'!$AB$74</definedName>
    <definedName name="SIS065_F_Kitospaskirtie2Geriamojovande1">'[1]Forma 12'!$X$75</definedName>
    <definedName name="SIS065_F_Kitospaskirtie2Konkurencinesi1">'[1]Forma 12'!$AA$75</definedName>
    <definedName name="SIS065_F_Kitospaskirtie2Paslaugaproduk8">'[1]Forma 12'!$Y$75</definedName>
    <definedName name="SIS065_F_Kitospaskirtie2Paslaugaproduk9">'[1]Forma 12'!$AB$75</definedName>
    <definedName name="SIS065_F_Kitospaskirtie3Geriamojovande1">'[1]Forma 12'!$X$76</definedName>
    <definedName name="SIS065_F_Kitospaskirtie3Konkurencinesi1">'[1]Forma 12'!$AA$76</definedName>
    <definedName name="SIS065_F_Kitospaskirtie3Paslaugaproduk8">'[1]Forma 12'!$Y$76</definedName>
    <definedName name="SIS065_F_Kitospaskirtie3Paslaugaproduk9">'[1]Forma 12'!$AB$76</definedName>
    <definedName name="SIS065_F_Kitospaskirtie4Geriamojovande1">'[1]Forma 12'!$X$77</definedName>
    <definedName name="SIS065_F_Kitospaskirtie4Konkurencinesi1">'[1]Forma 12'!$AA$77</definedName>
    <definedName name="SIS065_F_Kitospaskirtie4Paslaugaproduk8">'[1]Forma 12'!$Y$77</definedName>
    <definedName name="SIS065_F_Kitospaskirtie4Paslaugaproduk9">'[1]Forma 12'!$AB$77</definedName>
    <definedName name="SIS065_F_Kitospaskirtie5Geriamojovande1">'[1]Forma 12'!$X$79</definedName>
    <definedName name="SIS065_F_Kitospaskirtie5Konkurencinesi1">'[1]Forma 12'!$AA$79</definedName>
    <definedName name="SIS065_F_Kitospaskirtie5Paslaugaproduk8">'[1]Forma 12'!$Y$79</definedName>
    <definedName name="SIS065_F_Kitospaskirtie5Paslaugaproduk9">'[1]Forma 12'!$AB$79</definedName>
    <definedName name="SIS065_F_Kitospastovios2Geriamojovande1">'[1]Forma 12'!$X$189</definedName>
    <definedName name="SIS065_F_Kitospastovios2Konkurencinesi1">'[1]Forma 12'!$AA$189</definedName>
    <definedName name="SIS065_F_Kitospastovios2Paslaugaproduk8">'[1]Forma 12'!$Y$189</definedName>
    <definedName name="SIS065_F_Kitospastovios2Paslaugaproduk9">'[1]Forma 12'!$AB$189</definedName>
    <definedName name="SIS065_F_Kitospastovios3Geriamojovande1">'[1]Forma 12'!$X$190</definedName>
    <definedName name="SIS065_F_Kitospastovios3Konkurencinesi1">'[1]Forma 12'!$AA$190</definedName>
    <definedName name="SIS065_F_Kitospastovios3Paslaugaproduk8">'[1]Forma 12'!$Y$190</definedName>
    <definedName name="SIS065_F_Kitospastovios3Paslaugaproduk9">'[1]Forma 12'!$AB$190</definedName>
    <definedName name="SIS065_F_Kitosrinkodaro1Geriamojovande1">'[1]Forma 12'!$X$169</definedName>
    <definedName name="SIS065_F_Kitosrinkodaro1Konkurencinesi1">'[1]Forma 12'!$AA$169</definedName>
    <definedName name="SIS065_F_Kitosrinkodaro1Paslaugaproduk8">'[1]Forma 12'!$Y$169</definedName>
    <definedName name="SIS065_F_Kitosrinkodaro1Paslaugaproduk9">'[1]Forma 12'!$AB$169</definedName>
    <definedName name="SIS065_F_Kitosrinkodaro2Geriamojovande1">'[1]Forma 12'!$X$170</definedName>
    <definedName name="SIS065_F_Kitosrinkodaro2Konkurencinesi1">'[1]Forma 12'!$AA$170</definedName>
    <definedName name="SIS065_F_Kitosrinkodaro2Paslaugaproduk8">'[1]Forma 12'!$Y$170</definedName>
    <definedName name="SIS065_F_Kitosrinkodaro2Paslaugaproduk9">'[1]Forma 12'!$AB$170</definedName>
    <definedName name="SIS065_F_Kitossanaudoss1Geriamojovande1">'[1]Forma 12'!$X$25</definedName>
    <definedName name="SIS065_F_Kitossanaudoss1Konkurencinesi1">'[1]Forma 12'!$AA$25</definedName>
    <definedName name="SIS065_F_Kitossanaudoss1Paslaugaproduk8">'[1]Forma 12'!$Y$25</definedName>
    <definedName name="SIS065_F_Kitossanaudoss1Paslaugaproduk9">'[1]Forma 12'!$AB$25</definedName>
    <definedName name="SIS065_F_Kitossanaudoss2Geriamojovande1">'[1]Forma 12'!$X$45</definedName>
    <definedName name="SIS065_F_Kitossanaudoss2Konkurencinesi1">'[1]Forma 12'!$AA$45</definedName>
    <definedName name="SIS065_F_Kitossanaudoss2Paslaugaproduk8">'[1]Forma 12'!$Y$45</definedName>
    <definedName name="SIS065_F_Kitossanaudoss2Paslaugaproduk9">'[1]Forma 12'!$AB$45</definedName>
    <definedName name="SIS065_F_Kitossanaudoss3Geriamojovande1">'[1]Forma 12'!$X$48</definedName>
    <definedName name="SIS065_F_Kitossanaudoss3Konkurencinesi1">'[1]Forma 12'!$AA$48</definedName>
    <definedName name="SIS065_F_Kitossanaudoss3Paslaugaproduk8">'[1]Forma 12'!$Y$48</definedName>
    <definedName name="SIS065_F_Kitossanaudoss3Paslaugaproduk9">'[1]Forma 12'!$AB$48</definedName>
    <definedName name="SIS065_F_Kitossanaudoss4Geriamojovande1">'[1]Forma 12'!$X$52</definedName>
    <definedName name="SIS065_F_Kitossanaudoss4Konkurencinesi1">'[1]Forma 12'!$AA$52</definedName>
    <definedName name="SIS065_F_Kitossanaudoss4Paslaugaproduk8">'[1]Forma 12'!$Y$52</definedName>
    <definedName name="SIS065_F_Kitossanaudoss4Paslaugaproduk9">'[1]Forma 12'!$AB$52</definedName>
    <definedName name="SIS065_F_Kitossanaudoss5Geriamojovande1">'[1]Forma 12'!$X$55</definedName>
    <definedName name="SIS065_F_Kitossanaudoss5Konkurencinesi1">'[1]Forma 12'!$AA$55</definedName>
    <definedName name="SIS065_F_Kitossanaudoss5Paslaugaproduk8">'[1]Forma 12'!$Y$55</definedName>
    <definedName name="SIS065_F_Kitossanaudoss5Paslaugaproduk9">'[1]Forma 12'!$AB$55</definedName>
    <definedName name="SIS065_F_Kitossanaudoss6Geriamojovande1">'[1]Forma 12'!$X$56</definedName>
    <definedName name="SIS065_F_Kitossanaudoss6Konkurencinesi1">'[1]Forma 12'!$AA$56</definedName>
    <definedName name="SIS065_F_Kitossanaudoss6Paslaugaproduk8">'[1]Forma 12'!$Y$56</definedName>
    <definedName name="SIS065_F_Kitossanaudoss6Paslaugaproduk9">'[1]Forma 12'!$AB$56</definedName>
    <definedName name="SIS065_F_Kitossanaudoss7Geriamojovande1">'[1]Forma 12'!$X$173</definedName>
    <definedName name="SIS065_F_Kitossanaudoss7Konkurencinesi1">'[1]Forma 12'!$AA$173</definedName>
    <definedName name="SIS065_F_Kitossanaudoss7Paslaugaproduk8">'[1]Forma 12'!$Y$173</definedName>
    <definedName name="SIS065_F_Kitossanaudoss7Paslaugaproduk9">'[1]Forma 12'!$AB$173</definedName>
    <definedName name="SIS065_F_Kitossupersona1Geriamojovande1">'[1]Forma 12'!$X$129</definedName>
    <definedName name="SIS065_F_Kitossupersona1Konkurencinesi1">'[1]Forma 12'!$AA$129</definedName>
    <definedName name="SIS065_F_Kitossupersona1Paslaugaproduk8">'[1]Forma 12'!$Y$129</definedName>
    <definedName name="SIS065_F_Kitossupersona1Paslaugaproduk9">'[1]Forma 12'!$AB$129</definedName>
    <definedName name="SIS065_F_Kitossupersona2Geriamojovande1">'[1]Forma 12'!$X$130</definedName>
    <definedName name="SIS065_F_Kitossupersona2Konkurencinesi1">'[1]Forma 12'!$AA$130</definedName>
    <definedName name="SIS065_F_Kitossupersona2Paslaugaproduk8">'[1]Forma 12'!$Y$130</definedName>
    <definedName name="SIS065_F_Kitossupersona2Paslaugaproduk9">'[1]Forma 12'!$AB$130</definedName>
    <definedName name="SIS065_F_Kitossupersona3Geriamojovande1">'[1]Forma 12'!$X$131</definedName>
    <definedName name="SIS065_F_Kitossupersona3Konkurencinesi1">'[1]Forma 12'!$AA$131</definedName>
    <definedName name="SIS065_F_Kitossupersona3Paslaugaproduk8">'[1]Forma 12'!$Y$131</definedName>
    <definedName name="SIS065_F_Kitossupersona3Paslaugaproduk9">'[1]Forma 12'!$AB$131</definedName>
    <definedName name="SIS065_F_Kitossupersona4Geriamojovande1">'[1]Forma 12'!$X$132</definedName>
    <definedName name="SIS065_F_Kitossupersona4Konkurencinesi1">'[1]Forma 12'!$AA$132</definedName>
    <definedName name="SIS065_F_Kitossupersona4Paslaugaproduk8">'[1]Forma 12'!$Y$132</definedName>
    <definedName name="SIS065_F_Kitossupersona4Paslaugaproduk9">'[1]Forma 12'!$AB$132</definedName>
    <definedName name="SIS065_F_Kitumasinuirir1Geriamojovande1">'[1]Forma 12'!$X$85</definedName>
    <definedName name="SIS065_F_Kitumasinuirir1Konkurencinesi1">'[1]Forma 12'!$AA$85</definedName>
    <definedName name="SIS065_F_Kitumasinuirir1Paslaugaproduk8">'[1]Forma 12'!$Y$85</definedName>
    <definedName name="SIS065_F_Kitumasinuirir1Paslaugaproduk9">'[1]Forma 12'!$AB$85</definedName>
    <definedName name="SIS065_F_Kitumokesciuva1Geriamojovande1">'[1]Forma 12'!$X$140</definedName>
    <definedName name="SIS065_F_Kitumokesciuva1Konkurencinesi1">'[1]Forma 12'!$AA$140</definedName>
    <definedName name="SIS065_F_Kitumokesciuva1Paslaugaproduk8">'[1]Forma 12'!$Y$140</definedName>
    <definedName name="SIS065_F_Kitumokesciuva1Paslaugaproduk9">'[1]Forma 12'!$AB$140</definedName>
    <definedName name="SIS065_F_Kituobjektunur1Geriamojovande1">'[1]Forma 12'!$X$98</definedName>
    <definedName name="SIS065_F_Kituobjektunur1Konkurencinesi1">'[1]Forma 12'!$AA$98</definedName>
    <definedName name="SIS065_F_Kituobjektunur1Paslaugaproduk8">'[1]Forma 12'!$Y$98</definedName>
    <definedName name="SIS065_F_Kituobjektunur1Paslaugaproduk9">'[1]Forma 12'!$AB$98</definedName>
    <definedName name="SIS065_F_Komunalinespas1Geriamojovande1">'[1]Forma 12'!$X$155</definedName>
    <definedName name="SIS065_F_Komunalinespas1Konkurencinesi1">'[1]Forma 12'!$AA$155</definedName>
    <definedName name="SIS065_F_Komunalinespas1Paslaugaproduk8">'[1]Forma 12'!$Y$155</definedName>
    <definedName name="SIS065_F_Komunalinespas1Paslaugaproduk9">'[1]Forma 12'!$AB$155</definedName>
    <definedName name="SIS065_F_Komunaliniupas1Geriamojovande1">'[1]Forma 12'!$X$110</definedName>
    <definedName name="SIS065_F_Komunaliniupas1Konkurencinesi1">'[1]Forma 12'!$AA$110</definedName>
    <definedName name="SIS065_F_Komunaliniupas1Paslaugaproduk8">'[1]Forma 12'!$Y$110</definedName>
    <definedName name="SIS065_F_Komunaliniupas1Paslaugaproduk9">'[1]Forma 12'!$AB$110</definedName>
    <definedName name="SIS065_F_Konsultacinesp1Geriamojovande1">'[1]Forma 12'!$X$149</definedName>
    <definedName name="SIS065_F_Konsultacinesp1Konkurencinesi1">'[1]Forma 12'!$AA$149</definedName>
    <definedName name="SIS065_F_Konsultacinesp1Paslaugaproduk8">'[1]Forma 12'!$Y$149</definedName>
    <definedName name="SIS065_F_Konsultacinesp1Paslaugaproduk9">'[1]Forma 12'!$AB$149</definedName>
    <definedName name="SIS065_F_Labdaraparamas1Geriamojovande1">'[1]Forma 12'!$X$184</definedName>
    <definedName name="SIS065_F_Labdaraparamas1Konkurencinesi1">'[1]Forma 12'!$AA$184</definedName>
    <definedName name="SIS065_F_Labdaraparamas1Paslaugaproduk8">'[1]Forma 12'!$Y$184</definedName>
    <definedName name="SIS065_F_Labdaraparamas1Paslaugaproduk9">'[1]Forma 12'!$AB$184</definedName>
    <definedName name="SIS065_F_Laboratoriniai1Geriamojovande1">'[1]Forma 12'!$X$61</definedName>
    <definedName name="SIS065_F_Laboratoriniai1Konkurencinesi1">'[1]Forma 12'!$AA$61</definedName>
    <definedName name="SIS065_F_Laboratoriniai1Paslaugaproduk8">'[1]Forma 12'!$Y$61</definedName>
    <definedName name="SIS065_F_Laboratoriniai1Paslaugaproduk9">'[1]Forma 12'!$AB$61</definedName>
    <definedName name="SIS065_F_Likviduotonura1Geriamojovande1">'[1]Forma 12'!$X$182</definedName>
    <definedName name="SIS065_F_Likviduotonura1Konkurencinesi1">'[1]Forma 12'!$AA$182</definedName>
    <definedName name="SIS065_F_Likviduotonura1Paslaugaproduk8">'[1]Forma 12'!$Y$182</definedName>
    <definedName name="SIS065_F_Likviduotonura1Paslaugaproduk9">'[1]Forma 12'!$AB$182</definedName>
    <definedName name="SIS065_F_Malkinesmedien1Geriamojovande1">'[1]Forma 12'!$X$32</definedName>
    <definedName name="SIS065_F_Malkinesmedien1Konkurencinesi1">'[1]Forma 12'!$AA$32</definedName>
    <definedName name="SIS065_F_Malkinesmedien1Paslaugaproduk8">'[1]Forma 12'!$Y$32</definedName>
    <definedName name="SIS065_F_Malkinesmedien1Paslaugaproduk9">'[1]Forma 12'!$AB$32</definedName>
    <definedName name="SIS065_F_Masinuirirengi1Geriamojovande1">'[1]Forma 12'!$X$81</definedName>
    <definedName name="SIS065_F_Masinuirirengi1Konkurencinesi1">'[1]Forma 12'!$AA$81</definedName>
    <definedName name="SIS065_F_Masinuirirengi1Paslaugaproduk8">'[1]Forma 12'!$Y$81</definedName>
    <definedName name="SIS065_F_Masinuirirengi1Paslaugaproduk9">'[1]Forma 12'!$AB$81</definedName>
    <definedName name="SIS065_F_Masinuirirengi2Geriamojovande1">'[1]Forma 12'!$X$82</definedName>
    <definedName name="SIS065_F_Masinuirirengi2Konkurencinesi1">'[1]Forma 12'!$AA$82</definedName>
    <definedName name="SIS065_F_Masinuirirengi2Paslaugaproduk8">'[1]Forma 12'!$Y$82</definedName>
    <definedName name="SIS065_F_Masinuirirengi2Paslaugaproduk9">'[1]Forma 12'!$AB$82</definedName>
    <definedName name="SIS065_F_Masinuirirengi3Geriamojovande1">'[1]Forma 12'!$X$83</definedName>
    <definedName name="SIS065_F_Masinuirirengi3Konkurencinesi1">'[1]Forma 12'!$AA$83</definedName>
    <definedName name="SIS065_F_Masinuirirengi3Paslaugaproduk8">'[1]Forma 12'!$Y$83</definedName>
    <definedName name="SIS065_F_Masinuirirengi3Paslaugaproduk9">'[1]Forma 12'!$AB$83</definedName>
    <definedName name="SIS065_F_Masinuirirengi4Geriamojovande1">'[1]Forma 12'!$X$84</definedName>
    <definedName name="SIS065_F_Masinuirirengi4Konkurencinesi1">'[1]Forma 12'!$AA$84</definedName>
    <definedName name="SIS065_F_Masinuirirengi4Paslaugaproduk8">'[1]Forma 12'!$Y$84</definedName>
    <definedName name="SIS065_F_Masinuirirengi4Paslaugaproduk9">'[1]Forma 12'!$AB$84</definedName>
    <definedName name="SIS065_F_Mazavercioinve1Geriamojovande1">'[1]Forma 12'!$X$108</definedName>
    <definedName name="SIS065_F_Mazavercioinve1Konkurencinesi1">'[1]Forma 12'!$AA$108</definedName>
    <definedName name="SIS065_F_Mazavercioinve1Paslaugaproduk8">'[1]Forma 12'!$Y$108</definedName>
    <definedName name="SIS065_F_Mazavercioinve1Paslaugaproduk9">'[1]Forma 12'!$AB$108</definedName>
    <definedName name="SIS065_F_Mazutoisigijim1Geriamojovande1">'[1]Forma 12'!$X$28</definedName>
    <definedName name="SIS065_F_Mazutoisigijim1Konkurencinesi1">'[1]Forma 12'!$AA$28</definedName>
    <definedName name="SIS065_F_Mazutoisigijim1Paslaugaproduk8">'[1]Forma 12'!$Y$28</definedName>
    <definedName name="SIS065_F_Mazutoisigijim1Paslaugaproduk9">'[1]Forma 12'!$AB$28</definedName>
    <definedName name="SIS065_F_Medienosbriket1Geriamojovande1">'[1]Forma 12'!$X$33</definedName>
    <definedName name="SIS065_F_Medienosbriket1Konkurencinesi1">'[1]Forma 12'!$AA$33</definedName>
    <definedName name="SIS065_F_Medienosbriket1Paslaugaproduk8">'[1]Forma 12'!$Y$33</definedName>
    <definedName name="SIS065_F_Medienosbriket1Paslaugaproduk9">'[1]Forma 12'!$AB$33</definedName>
    <definedName name="SIS065_F_Medienosisigij1Geriamojovande1">'[1]Forma 12'!$X$29</definedName>
    <definedName name="SIS065_F_Medienosisigij1Konkurencinesi1">'[1]Forma 12'!$AA$29</definedName>
    <definedName name="SIS065_F_Medienosisigij1Paslaugaproduk8">'[1]Forma 12'!$Y$29</definedName>
    <definedName name="SIS065_F_Medienosisigij1Paslaugaproduk9">'[1]Forma 12'!$AB$29</definedName>
    <definedName name="SIS065_F_Medienoskilmes1Geriamojovande1">'[1]Forma 12'!$X$31</definedName>
    <definedName name="SIS065_F_Medienoskilmes1Konkurencinesi1">'[1]Forma 12'!$AA$31</definedName>
    <definedName name="SIS065_F_Medienoskilmes1Paslaugaproduk8">'[1]Forma 12'!$Y$31</definedName>
    <definedName name="SIS065_F_Medienoskilmes1Paslaugaproduk9">'[1]Forma 12'!$AB$31</definedName>
    <definedName name="SIS065_F_Medienosskiedr1Geriamojovande1">'[1]Forma 12'!$X$30</definedName>
    <definedName name="SIS065_F_Medienosskiedr1Konkurencinesi1">'[1]Forma 12'!$AA$30</definedName>
    <definedName name="SIS065_F_Medienosskiedr1Paslaugaproduk8">'[1]Forma 12'!$Y$30</definedName>
    <definedName name="SIS065_F_Medienosskiedr1Paslaugaproduk9">'[1]Forma 12'!$AB$30</definedName>
    <definedName name="SIS065_F_Medziaguzaliav1Geriamojovande1">'[1]Forma 12'!$X$99</definedName>
    <definedName name="SIS065_F_Medziaguzaliav1Konkurencinesi1">'[1]Forma 12'!$AA$99</definedName>
    <definedName name="SIS065_F_Medziaguzaliav1Paslaugaproduk8">'[1]Forma 12'!$Y$99</definedName>
    <definedName name="SIS065_F_Medziaguzaliav1Paslaugaproduk9">'[1]Forma 12'!$AB$99</definedName>
    <definedName name="SIS065_F_Medziaguzaliav2Geriamojovande1">'[1]Forma 12'!$X$100</definedName>
    <definedName name="SIS065_F_Medziaguzaliav2Konkurencinesi1">'[1]Forma 12'!$AA$100</definedName>
    <definedName name="SIS065_F_Medziaguzaliav2Paslaugaproduk8">'[1]Forma 12'!$Y$100</definedName>
    <definedName name="SIS065_F_Medziaguzaliav2Paslaugaproduk9">'[1]Forma 12'!$AB$100</definedName>
    <definedName name="SIS065_F_Medziaguzaliav3Geriamojovande1">'[1]Forma 12'!$X$101</definedName>
    <definedName name="SIS065_F_Medziaguzaliav3Konkurencinesi1">'[1]Forma 12'!$AA$101</definedName>
    <definedName name="SIS065_F_Medziaguzaliav3Paslaugaproduk8">'[1]Forma 12'!$Y$101</definedName>
    <definedName name="SIS065_F_Medziaguzaliav3Paslaugaproduk9">'[1]Forma 12'!$AB$101</definedName>
    <definedName name="SIS065_F_Medziaguzaliav4Geriamojovande1">'[1]Forma 12'!$X$102</definedName>
    <definedName name="SIS065_F_Medziaguzaliav4Konkurencinesi1">'[1]Forma 12'!$AA$102</definedName>
    <definedName name="SIS065_F_Medziaguzaliav4Paslaugaproduk8">'[1]Forma 12'!$Y$102</definedName>
    <definedName name="SIS065_F_Medziaguzaliav4Paslaugaproduk9">'[1]Forma 12'!$AB$102</definedName>
    <definedName name="SIS065_F_Medziaguzaliav5Geriamojovande1">'[1]Forma 12'!$X$103</definedName>
    <definedName name="SIS065_F_Medziaguzaliav5Konkurencinesi1">'[1]Forma 12'!$AA$103</definedName>
    <definedName name="SIS065_F_Medziaguzaliav5Paslaugaproduk8">'[1]Forma 12'!$Y$103</definedName>
    <definedName name="SIS065_F_Medziaguzaliav5Paslaugaproduk9">'[1]Forma 12'!$AB$103</definedName>
    <definedName name="SIS065_F_Medziogranuliu1Geriamojovande1">'[1]Forma 12'!$X$34</definedName>
    <definedName name="SIS065_F_Medziogranuliu1Konkurencinesi1">'[1]Forma 12'!$AA$34</definedName>
    <definedName name="SIS065_F_Medziogranuliu1Paslaugaproduk8">'[1]Forma 12'!$Y$34</definedName>
    <definedName name="SIS065_F_Medziogranuliu1Paslaugaproduk9">'[1]Forma 12'!$AB$34</definedName>
    <definedName name="SIS065_F_Metrologinespa1Geriamojovande1">'[1]Forma 12'!$X$114</definedName>
    <definedName name="SIS065_F_Metrologinespa1Konkurencinesi1">'[1]Forma 12'!$AA$114</definedName>
    <definedName name="SIS065_F_Metrologinespa1Paslaugaproduk8">'[1]Forma 12'!$Y$114</definedName>
    <definedName name="SIS065_F_Metrologinespa1Paslaugaproduk9">'[1]Forma 12'!$AB$114</definedName>
    <definedName name="SIS065_F_Mokymukvalifik1Geriamojovande1">'[1]Forma 12'!$X$124</definedName>
    <definedName name="SIS065_F_Mokymukvalifik1Konkurencinesi1">'[1]Forma 12'!$AA$124</definedName>
    <definedName name="SIS065_F_Mokymukvalifik1Paslaugaproduk8">'[1]Forma 12'!$Y$124</definedName>
    <definedName name="SIS065_F_Mokymukvalifik1Paslaugaproduk9">'[1]Forma 12'!$AB$124</definedName>
    <definedName name="SIS065_F_Muitinesireksp1Geriamojovande1">'[1]Forma 12'!$X$113</definedName>
    <definedName name="SIS065_F_Muitinesireksp1Konkurencinesi1">'[1]Forma 12'!$AA$113</definedName>
    <definedName name="SIS065_F_Muitinesireksp1Paslaugaproduk8">'[1]Forma 12'!$Y$113</definedName>
    <definedName name="SIS065_F_Muitinesireksp1Paslaugaproduk9">'[1]Forma 12'!$AB$113</definedName>
    <definedName name="SIS065_F_Narystesstojam1Geriamojovande1">'[1]Forma 12'!$X$181</definedName>
    <definedName name="SIS065_F_Narystesstojam1Konkurencinesi1">'[1]Forma 12'!$AA$181</definedName>
    <definedName name="SIS065_F_Narystesstojam1Paslaugaproduk8">'[1]Forma 12'!$Y$181</definedName>
    <definedName name="SIS065_F_Narystesstojam1Paslaugaproduk9">'[1]Forma 12'!$AB$181</definedName>
    <definedName name="SIS065_F_Neigiamosmoket1Geriamojovande1">'[1]Forma 12'!$X$144</definedName>
    <definedName name="SIS065_F_Neigiamosmoket1Konkurencinesi1">'[1]Forma 12'!$AA$144</definedName>
    <definedName name="SIS065_F_Neigiamosmoket1Paslaugaproduk8">'[1]Forma 12'!$Y$144</definedName>
    <definedName name="SIS065_F_Neigiamosmoket1Paslaugaproduk9">'[1]Forma 12'!$AB$144</definedName>
    <definedName name="SIS065_F_Nekilnojamotur1Geriamojovande1">'[1]Forma 12'!$X$135</definedName>
    <definedName name="SIS065_F_Nekilnojamotur1Konkurencinesi1">'[1]Forma 12'!$AA$135</definedName>
    <definedName name="SIS065_F_Nekilnojamotur1Paslaugaproduk8">'[1]Forma 12'!$Y$135</definedName>
    <definedName name="SIS065_F_Nekilnojamotur1Paslaugaproduk9">'[1]Forma 12'!$AB$135</definedName>
    <definedName name="SIS065_F_Nuotekutvarkym1Geriamojovande1">'[1]Forma 12'!$X$51</definedName>
    <definedName name="SIS065_F_Nuotekutvarkym1Konkurencinesi1">'[1]Forma 12'!$AA$51</definedName>
    <definedName name="SIS065_F_Nuotekutvarkym1Paslaugaproduk8">'[1]Forma 12'!$Y$51</definedName>
    <definedName name="SIS065_F_Nuotekutvarkym1Paslaugaproduk9">'[1]Forma 12'!$AB$51</definedName>
    <definedName name="SIS065_F_Nuotolinesduom1Geriamojovande1">'[1]Forma 12'!$X$105</definedName>
    <definedName name="SIS065_F_Nuotolinesduom1Konkurencinesi1">'[1]Forma 12'!$AA$105</definedName>
    <definedName name="SIS065_F_Nuotolinesduom1Paslaugaproduk8">'[1]Forma 12'!$Y$105</definedName>
    <definedName name="SIS065_F_Nuotolinesduom1Paslaugaproduk9">'[1]Forma 12'!$AB$105</definedName>
    <definedName name="SIS065_F_Nurasytuatsisk1Geriamojovande1">'[1]Forma 12'!$X$183</definedName>
    <definedName name="SIS065_F_Nurasytuatsisk1Konkurencinesi1">'[1]Forma 12'!$AA$183</definedName>
    <definedName name="SIS065_F_Nurasytuatsisk1Paslaugaproduk8">'[1]Forma 12'!$Y$183</definedName>
    <definedName name="SIS065_F_Nurasytuatsisk1Paslaugaproduk9">'[1]Forma 12'!$AB$183</definedName>
    <definedName name="SIS065_F_Orginventoriau1Geriamojovande1">'[1]Forma 12'!$X$153</definedName>
    <definedName name="SIS065_F_Orginventoriau1Konkurencinesi1">'[1]Forma 12'!$AA$153</definedName>
    <definedName name="SIS065_F_Orginventoriau1Paslaugaproduk8">'[1]Forma 12'!$Y$153</definedName>
    <definedName name="SIS065_F_Orginventoriau1Paslaugaproduk9">'[1]Forma 12'!$AB$153</definedName>
    <definedName name="SIS065_F_Pajegumuaukcio1Geriamojovande1">'[1]Forma 12'!$X$23</definedName>
    <definedName name="SIS065_F_Pajegumuaukcio1Konkurencinesi1">'[1]Forma 12'!$AA$23</definedName>
    <definedName name="SIS065_F_Pajegumuaukcio1Paslaugaproduk8">'[1]Forma 12'!$Y$23</definedName>
    <definedName name="SIS065_F_Pajegumuaukcio1Paslaugaproduk9">'[1]Forma 12'!$AB$23</definedName>
    <definedName name="SIS065_F_Palukanusanaud1Geriamojovande1">'[1]Forma 12'!$X$143</definedName>
    <definedName name="SIS065_F_Palukanusanaud1Konkurencinesi1">'[1]Forma 12'!$AA$143</definedName>
    <definedName name="SIS065_F_Palukanusanaud1Paslaugaproduk8">'[1]Forma 12'!$Y$143</definedName>
    <definedName name="SIS065_F_Palukanusanaud1Paslaugaproduk9">'[1]Forma 12'!$AB$143</definedName>
    <definedName name="SIS065_F_Papildomodarbu1Geriamojovande1">'[1]Forma 12'!$X$123</definedName>
    <definedName name="SIS065_F_Papildomodarbu1Konkurencinesi1">'[1]Forma 12'!$AA$123</definedName>
    <definedName name="SIS065_F_Papildomodarbu1Paslaugaproduk8">'[1]Forma 12'!$Y$123</definedName>
    <definedName name="SIS065_F_Papildomodarbu1Paslaugaproduk9">'[1]Forma 12'!$AB$123</definedName>
    <definedName name="SIS065_F_Pastopasiuntin1Geriamojovande1">'[1]Forma 12'!$X$151</definedName>
    <definedName name="SIS065_F_Pastopasiuntin1Konkurencinesi1">'[1]Forma 12'!$AA$151</definedName>
    <definedName name="SIS065_F_Pastopasiuntin1Paslaugaproduk8">'[1]Forma 12'!$Y$151</definedName>
    <definedName name="SIS065_F_Pastopasiuntin1Paslaugaproduk9">'[1]Forma 12'!$AB$151</definedName>
    <definedName name="SIS065_F_Patalpuneadmin1Geriamojovande1">'[1]Forma 12'!$X$106</definedName>
    <definedName name="SIS065_F_Patalpuneadmin1Konkurencinesi1">'[1]Forma 12'!$AA$106</definedName>
    <definedName name="SIS065_F_Patalpuneadmin1Paslaugaproduk8">'[1]Forma 12'!$Y$106</definedName>
    <definedName name="SIS065_F_Patalpuneadmin1Paslaugaproduk9">'[1]Forma 12'!$AB$106</definedName>
    <definedName name="SIS065_F_Patalpuprieziu1Geriamojovande1">'[1]Forma 12'!$X$156</definedName>
    <definedName name="SIS065_F_Patalpuprieziu1Konkurencinesi1">'[1]Forma 12'!$AA$156</definedName>
    <definedName name="SIS065_F_Patalpuprieziu1Paslaugaproduk8">'[1]Forma 12'!$Y$156</definedName>
    <definedName name="SIS065_F_Patalpuprieziu1Paslaugaproduk9">'[1]Forma 12'!$AB$156</definedName>
    <definedName name="SIS065_F_Patentulicenci1Geriamojovande1">'[1]Forma 12'!$X$68</definedName>
    <definedName name="SIS065_F_Patentulicenci1Konkurencinesi1">'[1]Forma 12'!$AA$68</definedName>
    <definedName name="SIS065_F_Patentulicenci1Paslaugaproduk8">'[1]Forma 12'!$Y$68</definedName>
    <definedName name="SIS065_F_Patentulicenci1Paslaugaproduk9">'[1]Forma 12'!$AB$68</definedName>
    <definedName name="SIS065_F_Pelenutvarkymo1Geriamojovande1">'[1]Forma 12'!$X$58</definedName>
    <definedName name="SIS065_F_Pelenutvarkymo1Konkurencinesi1">'[1]Forma 12'!$AA$58</definedName>
    <definedName name="SIS065_F_Pelenutvarkymo1Paslaugaproduk8">'[1]Forma 12'!$Y$58</definedName>
    <definedName name="SIS065_F_Pelenutvarkymo1Paslaugaproduk9">'[1]Forma 12'!$AB$58</definedName>
    <definedName name="SIS065_F_Pletrosdarbunu1Geriamojovande1">'[1]Forma 12'!$X$66</definedName>
    <definedName name="SIS065_F_Pletrosdarbunu1Konkurencinesi1">'[1]Forma 12'!$AA$66</definedName>
    <definedName name="SIS065_F_Pletrosdarbunu1Paslaugaproduk8">'[1]Forma 12'!$Y$66</definedName>
    <definedName name="SIS065_F_Pletrosdarbunu1Paslaugaproduk9">'[1]Forma 12'!$AB$66</definedName>
    <definedName name="SIS065_F_Prekeszenkloiv1Geriamojovande1">'[1]Forma 12'!$X$163</definedName>
    <definedName name="SIS065_F_Prekeszenkloiv1Konkurencinesi1">'[1]Forma 12'!$AA$163</definedName>
    <definedName name="SIS065_F_Prekeszenkloiv1Paslaugaproduk8">'[1]Forma 12'!$Y$163</definedName>
    <definedName name="SIS065_F_Prekeszenkloiv1Paslaugaproduk9">'[1]Forma 12'!$AB$163</definedName>
    <definedName name="SIS065_F_Prestizonuside1Geriamojovande1">'[1]Forma 12'!$X$67</definedName>
    <definedName name="SIS065_F_Prestizonuside1Konkurencinesi1">'[1]Forma 12'!$AA$67</definedName>
    <definedName name="SIS065_F_Prestizonuside1Paslaugaproduk8">'[1]Forma 12'!$Y$67</definedName>
    <definedName name="SIS065_F_Prestizonuside1Paslaugaproduk9">'[1]Forma 12'!$AB$67</definedName>
    <definedName name="SIS065_F_Priskaitytosba1Geriamojovande1">'[1]Forma 12'!$X$186</definedName>
    <definedName name="SIS065_F_Priskaitytosba1Konkurencinesi1">'[1]Forma 12'!$AA$186</definedName>
    <definedName name="SIS065_F_Priskaitytosba1Paslaugaproduk8">'[1]Forma 12'!$Y$186</definedName>
    <definedName name="SIS065_F_Priskaitytosba1Paslaugaproduk9">'[1]Forma 12'!$AB$186</definedName>
    <definedName name="SIS065_F_Priskirtutiesi1Elektrosenergi1">'[1]Forma 12'!$W$18</definedName>
    <definedName name="SIS065_F_Priskirtutiesi1Elektrosenergi2">'[1]Forma 12'!$Z$18</definedName>
    <definedName name="SIS065_F_Priskirtutiesi1Geriamojovande1">'[1]Forma 12'!$X$18</definedName>
    <definedName name="SIS065_F_Priskirtutiesi1Isvisobendruju1">'[1]Forma 12'!$D$18</definedName>
    <definedName name="SIS065_F_Priskirtutiesi1Konkurencinesi1">'[1]Forma 12'!$AA$18</definedName>
    <definedName name="SIS065_F_Priskirtutiesi1Paslaugaproduk8">'[1]Forma 12'!$Y$18</definedName>
    <definedName name="SIS065_F_Priskirtutiesi1Paslaugaproduk9">'[1]Forma 12'!$AB$18</definedName>
    <definedName name="SIS065_F_Privalomovarto1Geriamojovande1">'[1]Forma 12'!$X$162</definedName>
    <definedName name="SIS065_F_Privalomovarto1Konkurencinesi1">'[1]Forma 12'!$AA$162</definedName>
    <definedName name="SIS065_F_Privalomovarto1Paslaugaproduk8">'[1]Forma 12'!$Y$162</definedName>
    <definedName name="SIS065_F_Privalomovarto1Paslaugaproduk9">'[1]Forma 12'!$AB$162</definedName>
    <definedName name="SIS065_F_Profesineliter1Geriamojovande1">'[1]Forma 12'!$X$154</definedName>
    <definedName name="SIS065_F_Profesineliter1Konkurencinesi1">'[1]Forma 12'!$AA$154</definedName>
    <definedName name="SIS065_F_Profesineliter1Paslaugaproduk8">'[1]Forma 12'!$Y$154</definedName>
    <definedName name="SIS065_F_Profesineliter1Paslaugaproduk9">'[1]Forma 12'!$AB$154</definedName>
    <definedName name="SIS065_F_Programinesira1Geriamojovande1">'[1]Forma 12'!$X$69</definedName>
    <definedName name="SIS065_F_Programinesira1Konkurencinesi1">'[1]Forma 12'!$AA$69</definedName>
    <definedName name="SIS065_F_Programinesira1Paslaugaproduk8">'[1]Forma 12'!$Y$69</definedName>
    <definedName name="SIS065_F_Programinesira1Paslaugaproduk9">'[1]Forma 12'!$AB$69</definedName>
    <definedName name="SIS065_F_Reklamospaslau1Geriamojovande1">'[1]Forma 12'!$X$161</definedName>
    <definedName name="SIS065_F_Reklamospaslau1Konkurencinesi1">'[1]Forma 12'!$AA$161</definedName>
    <definedName name="SIS065_F_Reklamospaslau1Paslaugaproduk8">'[1]Forma 12'!$Y$161</definedName>
    <definedName name="SIS065_F_Reklamospaslau1Paslaugaproduk9">'[1]Forma 12'!$AB$161</definedName>
    <definedName name="SIS065_F_Reprezentacijo1Geriamojovande1">'[1]Forma 12'!$X$167</definedName>
    <definedName name="SIS065_F_Reprezentacijo1Konkurencinesi1">'[1]Forma 12'!$AA$167</definedName>
    <definedName name="SIS065_F_Reprezentacijo1Paslaugaproduk8">'[1]Forma 12'!$Y$167</definedName>
    <definedName name="SIS065_F_Reprezentacijo1Paslaugaproduk9">'[1]Forma 12'!$AB$167</definedName>
    <definedName name="SIS065_F_Rezervinesgali1Geriamojovande1">'[1]Forma 12'!$X$188</definedName>
    <definedName name="SIS065_F_Rezervinesgali1Konkurencinesi1">'[1]Forma 12'!$AA$188</definedName>
    <definedName name="SIS065_F_Rezervinesgali1Paslaugaproduk8">'[1]Forma 12'!$Y$188</definedName>
    <definedName name="SIS065_F_Rezervinesgali1Paslaugaproduk9">'[1]Forma 12'!$AB$188</definedName>
    <definedName name="SIS065_F_Rezerviniokuro1Geriamojovande1">'[1]Forma 12'!$X$107</definedName>
    <definedName name="SIS065_F_Rezerviniokuro1Konkurencinesi1">'[1]Forma 12'!$AA$107</definedName>
    <definedName name="SIS065_F_Rezerviniokuro1Paslaugaproduk8">'[1]Forma 12'!$Y$107</definedName>
    <definedName name="SIS065_F_Rezerviniokuro1Paslaugaproduk9">'[1]Forma 12'!$AB$107</definedName>
    <definedName name="SIS065_F_Rinkostyrimusa1Geriamojovande1">'[1]Forma 12'!$X$164</definedName>
    <definedName name="SIS065_F_Rinkostyrimusa1Konkurencinesi1">'[1]Forma 12'!$AA$164</definedName>
    <definedName name="SIS065_F_Rinkostyrimusa1Paslaugaproduk8">'[1]Forma 12'!$Y$164</definedName>
    <definedName name="SIS065_F_Rinkostyrimusa1Paslaugaproduk9">'[1]Forma 12'!$AB$164</definedName>
    <definedName name="SIS065_F_Rysiupaslaugos1Geriamojovande1">'[1]Forma 12'!$X$150</definedName>
    <definedName name="SIS065_F_Rysiupaslaugos1Konkurencinesi1">'[1]Forma 12'!$AA$150</definedName>
    <definedName name="SIS065_F_Rysiupaslaugos1Paslaugaproduk8">'[1]Forma 12'!$Y$150</definedName>
    <definedName name="SIS065_F_Rysiupaslaugos1Paslaugaproduk9">'[1]Forma 12'!$AB$150</definedName>
    <definedName name="SIS065_F_Saskaituvartot1Geriamojovande1">'[1]Forma 12'!$X$165</definedName>
    <definedName name="SIS065_F_Saskaituvartot1Konkurencinesi1">'[1]Forma 12'!$AA$165</definedName>
    <definedName name="SIS065_F_Saskaituvartot1Paslaugaproduk8">'[1]Forma 12'!$Y$165</definedName>
    <definedName name="SIS065_F_Saskaituvartot1Paslaugaproduk9">'[1]Forma 12'!$AB$165</definedName>
    <definedName name="SIS065_F_Siaudiuisigiji1Geriamojovande1">'[1]Forma 12'!$X$40</definedName>
    <definedName name="SIS065_F_Siaudiuisigiji1Konkurencinesi1">'[1]Forma 12'!$AA$40</definedName>
    <definedName name="SIS065_F_Siaudiuisigiji1Paslaugaproduk8">'[1]Forma 12'!$Y$40</definedName>
    <definedName name="SIS065_F_Siaudiuisigiji1Paslaugaproduk9">'[1]Forma 12'!$AB$40</definedName>
    <definedName name="SIS065_F_Silumosisigiji2Geriamojovande1">'[1]Forma 12'!$X$20</definedName>
    <definedName name="SIS065_F_Silumosisigiji2Konkurencinesi1">'[1]Forma 12'!$AA$20</definedName>
    <definedName name="SIS065_F_Silumosisigiji2Paslaugaproduk8">'[1]Forma 12'!$Y$20</definedName>
    <definedName name="SIS065_F_Silumosisigiji2Paslaugaproduk9">'[1]Forma 12'!$AB$20</definedName>
    <definedName name="SIS065_F_Silumospunktue1Geriamojovande1">'[1]Forma 12'!$X$96</definedName>
    <definedName name="SIS065_F_Silumospunktue1Konkurencinesi1">'[1]Forma 12'!$AA$96</definedName>
    <definedName name="SIS065_F_Silumospunktue1Paslaugaproduk8">'[1]Forma 12'!$Y$96</definedName>
    <definedName name="SIS065_F_Silumospunktue1Paslaugaproduk9">'[1]Forma 12'!$AB$96</definedName>
    <definedName name="SIS065_F_Silumosukiotur2Geriamojovande1">'[1]Forma 12'!$X$172</definedName>
    <definedName name="SIS065_F_Silumosukiotur2Konkurencinesi1">'[1]Forma 12'!$AA$172</definedName>
    <definedName name="SIS065_F_Silumosukiotur2Paslaugaproduk8">'[1]Forma 12'!$Y$172</definedName>
    <definedName name="SIS065_F_Silumosukiotur2Paslaugaproduk9">'[1]Forma 12'!$AB$172</definedName>
    <definedName name="SIS065_F_Skalunualyvosi1Geriamojovande1">'[1]Forma 12'!$X$35</definedName>
    <definedName name="SIS065_F_Skalunualyvosi1Konkurencinesi1">'[1]Forma 12'!$AA$35</definedName>
    <definedName name="SIS065_F_Skalunualyvosi1Paslaugaproduk8">'[1]Forma 12'!$Y$35</definedName>
    <definedName name="SIS065_F_Skalunualyvosi1Paslaugaproduk9">'[1]Forma 12'!$AB$35</definedName>
    <definedName name="SIS065_F_Skoluisieskoji1Geriamojovande1">'[1]Forma 12'!$X$180</definedName>
    <definedName name="SIS065_F_Skoluisieskoji1Konkurencinesi1">'[1]Forma 12'!$AA$180</definedName>
    <definedName name="SIS065_F_Skoluisieskoji1Paslaugaproduk8">'[1]Forma 12'!$Y$180</definedName>
    <definedName name="SIS065_F_Skoluisieskoji1Paslaugaproduk9">'[1]Forma 12'!$AB$180</definedName>
    <definedName name="SIS065_F_Suskystintuduj1Geriamojovande1">'[1]Forma 12'!$X$37</definedName>
    <definedName name="SIS065_F_Suskystintuduj1Konkurencinesi1">'[1]Forma 12'!$AA$37</definedName>
    <definedName name="SIS065_F_Suskystintuduj1Paslaugaproduk8">'[1]Forma 12'!$Y$37</definedName>
    <definedName name="SIS065_F_Suskystintuduj1Paslaugaproduk9">'[1]Forma 12'!$AB$37</definedName>
    <definedName name="SIS065_F_Svietimoirkons1Geriamojovande1">'[1]Forma 12'!$X$168</definedName>
    <definedName name="SIS065_F_Svietimoirkons1Konkurencinesi1">'[1]Forma 12'!$AA$168</definedName>
    <definedName name="SIS065_F_Svietimoirkons1Paslaugaproduk8">'[1]Forma 12'!$Y$168</definedName>
    <definedName name="SIS065_F_Svietimoirkons1Paslaugaproduk9">'[1]Forma 12'!$AB$168</definedName>
    <definedName name="SIS065_F_Tantjemos1Geriamojovande1">'[1]Forma 12'!$X$187</definedName>
    <definedName name="SIS065_F_Tantjemos1Konkurencinesi1">'[1]Forma 12'!$AA$187</definedName>
    <definedName name="SIS065_F_Tantjemos1Paslaugaproduk8">'[1]Forma 12'!$Y$187</definedName>
    <definedName name="SIS065_F_Tantjemos1Paslaugaproduk9">'[1]Forma 12'!$AB$187</definedName>
    <definedName name="SIS065_F_Teisinespaslau1Geriamojovande1">'[1]Forma 12'!$X$148</definedName>
    <definedName name="SIS065_F_Teisinespaslau1Konkurencinesi1">'[1]Forma 12'!$AA$148</definedName>
    <definedName name="SIS065_F_Teisinespaslau1Paslaugaproduk8">'[1]Forma 12'!$Y$148</definedName>
    <definedName name="SIS065_F_Teisinespaslau1Paslaugaproduk9">'[1]Forma 12'!$AB$148</definedName>
    <definedName name="SIS065_F_Tinklueinamojo1Geriamojovande1">'[1]Forma 12'!$X$95</definedName>
    <definedName name="SIS065_F_Tinklueinamojo1Konkurencinesi1">'[1]Forma 12'!$AA$95</definedName>
    <definedName name="SIS065_F_Tinklueinamojo1Paslaugaproduk8">'[1]Forma 12'!$Y$95</definedName>
    <definedName name="SIS065_F_Tinklueinamojo1Paslaugaproduk9">'[1]Forma 12'!$AB$95</definedName>
    <definedName name="SIS065_F_Transportoprie1Geriamojovande1">'[1]Forma 12'!$X$89</definedName>
    <definedName name="SIS065_F_Transportoprie1Konkurencinesi1">'[1]Forma 12'!$AA$89</definedName>
    <definedName name="SIS065_F_Transportoprie1Paslaugaproduk8">'[1]Forma 12'!$Y$89</definedName>
    <definedName name="SIS065_F_Transportoprie1Paslaugaproduk9">'[1]Forma 12'!$AB$89</definedName>
    <definedName name="SIS065_F_Transportoprie2Geriamojovande1">'[1]Forma 12'!$X$111</definedName>
    <definedName name="SIS065_F_Transportoprie2Konkurencinesi1">'[1]Forma 12'!$AA$111</definedName>
    <definedName name="SIS065_F_Transportoprie2Paslaugaproduk8">'[1]Forma 12'!$Y$111</definedName>
    <definedName name="SIS065_F_Transportoprie2Paslaugaproduk9">'[1]Forma 12'!$AB$111</definedName>
    <definedName name="SIS065_F_Transportoprie3Geriamojovande1">'[1]Forma 12'!$X$112</definedName>
    <definedName name="SIS065_F_Transportoprie3Konkurencinesi1">'[1]Forma 12'!$AA$112</definedName>
    <definedName name="SIS065_F_Transportoprie3Paslaugaproduk8">'[1]Forma 12'!$Y$112</definedName>
    <definedName name="SIS065_F_Transportoprie3Paslaugaproduk9">'[1]Forma 12'!$AB$112</definedName>
    <definedName name="SIS065_F_Turtodraudimos1Geriamojovande1">'[1]Forma 12'!$X$175</definedName>
    <definedName name="SIS065_F_Turtodraudimos1Konkurencinesi1">'[1]Forma 12'!$AA$175</definedName>
    <definedName name="SIS065_F_Turtodraudimos1Paslaugaproduk8">'[1]Forma 12'!$Y$175</definedName>
    <definedName name="SIS065_F_Turtodraudimos1Paslaugaproduk9">'[1]Forma 12'!$AB$175</definedName>
    <definedName name="SIS065_F_Turtonuomosnes1Geriamojovande1">'[1]Forma 12'!$X$109</definedName>
    <definedName name="SIS065_F_Turtonuomosnes1Konkurencinesi1">'[1]Forma 12'!$AA$109</definedName>
    <definedName name="SIS065_F_Turtonuomosnes1Paslaugaproduk8">'[1]Forma 12'!$Y$109</definedName>
    <definedName name="SIS065_F_Turtonuomosnes1Paslaugaproduk9">'[1]Forma 12'!$AB$109</definedName>
    <definedName name="SIS065_F_Valstybiniuist1Geriamojovande1">'[1]Forma 12'!$X$137</definedName>
    <definedName name="SIS065_F_Valstybiniuist1Konkurencinesi1">'[1]Forma 12'!$AA$137</definedName>
    <definedName name="SIS065_F_Valstybiniuist1Paslaugaproduk8">'[1]Forma 12'!$Y$137</definedName>
    <definedName name="SIS065_F_Valstybiniuist1Paslaugaproduk9">'[1]Forma 12'!$AB$137</definedName>
    <definedName name="SIS065_F_Vandenstechnol2Geriamojovande1">'[1]Forma 12'!$X$50</definedName>
    <definedName name="SIS065_F_Vandenstechnol2Konkurencinesi1">'[1]Forma 12'!$AA$50</definedName>
    <definedName name="SIS065_F_Vandenstechnol2Paslaugaproduk8">'[1]Forma 12'!$Y$50</definedName>
    <definedName name="SIS065_F_Vandenstechnol2Paslaugaproduk9">'[1]Forma 12'!$AB$50</definedName>
    <definedName name="SIS065_F_Vartotojumokej1Geriamojovande1">'[1]Forma 12'!$X$166</definedName>
    <definedName name="SIS065_F_Vartotojumokej1Konkurencinesi1">'[1]Forma 12'!$AA$166</definedName>
    <definedName name="SIS065_F_Vartotojumokej1Paslaugaproduk8">'[1]Forma 12'!$Y$166</definedName>
    <definedName name="SIS065_F_Vartotojumokej1Paslaugaproduk9">'[1]Forma 12'!$AB$166</definedName>
    <definedName name="SIS065_F_Veiklosrizikos1Geriamojovande1">'[1]Forma 12'!$X$176</definedName>
    <definedName name="SIS065_F_Veiklosrizikos1Konkurencinesi1">'[1]Forma 12'!$AA$176</definedName>
    <definedName name="SIS065_F_Veiklosrizikos1Paslaugaproduk8">'[1]Forma 12'!$Y$176</definedName>
    <definedName name="SIS065_F_Veiklosrizikos1Paslaugaproduk9">'[1]Forma 12'!$AB$176</definedName>
    <definedName name="SIS065_F_Zemesmokescios1Geriamojovande1">'[1]Forma 12'!$X$134</definedName>
    <definedName name="SIS065_F_Zemesmokescios1Konkurencinesi1">'[1]Forma 12'!$AA$134</definedName>
    <definedName name="SIS065_F_Zemesmokescios1Paslaugaproduk8">'[1]Forma 12'!$Y$134</definedName>
    <definedName name="SIS065_F_Zemesmokescios1Paslaugaproduk9">'[1]Forma 12'!$AB$134</definedName>
    <definedName name="SIS065_F_Zyminiomokesci1Geriamojovande1">'[1]Forma 12'!$X$138</definedName>
    <definedName name="SIS065_F_Zyminiomokesci1Konkurencinesi1">'[1]Forma 12'!$AA$138</definedName>
    <definedName name="SIS065_F_Zyminiomokesci1Paslaugaproduk8">'[1]Forma 12'!$Y$138</definedName>
    <definedName name="SIS065_F_Zyminiomokesci1Paslaugaproduk9">'[1]Forma 12'!$AB$138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190" i="1" l="1"/>
  <c r="AA190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C190" i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C189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D185" i="1" s="1"/>
  <c r="G185" i="1"/>
  <c r="F185" i="1"/>
  <c r="E185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 s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D180" i="1" s="1"/>
  <c r="G180" i="1"/>
  <c r="F180" i="1"/>
  <c r="E180" i="1"/>
  <c r="AB179" i="1"/>
  <c r="AA179" i="1"/>
  <c r="Z179" i="1"/>
  <c r="Y179" i="1"/>
  <c r="X179" i="1"/>
  <c r="W179" i="1"/>
  <c r="V179" i="1"/>
  <c r="U179" i="1"/>
  <c r="T179" i="1"/>
  <c r="T174" i="1" s="1"/>
  <c r="S179" i="1"/>
  <c r="R179" i="1"/>
  <c r="Q179" i="1"/>
  <c r="P179" i="1"/>
  <c r="O179" i="1"/>
  <c r="N179" i="1"/>
  <c r="M179" i="1"/>
  <c r="L179" i="1"/>
  <c r="K179" i="1"/>
  <c r="J179" i="1"/>
  <c r="I179" i="1"/>
  <c r="H179" i="1"/>
  <c r="H174" i="1" s="1"/>
  <c r="G179" i="1"/>
  <c r="F179" i="1"/>
  <c r="E179" i="1"/>
  <c r="AB178" i="1"/>
  <c r="AA178" i="1"/>
  <c r="AA174" i="1" s="1"/>
  <c r="Z178" i="1"/>
  <c r="Y178" i="1"/>
  <c r="X178" i="1"/>
  <c r="W178" i="1"/>
  <c r="V178" i="1"/>
  <c r="U178" i="1"/>
  <c r="T178" i="1"/>
  <c r="S178" i="1"/>
  <c r="R178" i="1"/>
  <c r="Q178" i="1"/>
  <c r="P178" i="1"/>
  <c r="O178" i="1"/>
  <c r="O174" i="1" s="1"/>
  <c r="N178" i="1"/>
  <c r="M178" i="1"/>
  <c r="L178" i="1"/>
  <c r="K178" i="1"/>
  <c r="J178" i="1"/>
  <c r="I178" i="1"/>
  <c r="H178" i="1"/>
  <c r="G178" i="1"/>
  <c r="F178" i="1"/>
  <c r="D178" i="1" s="1"/>
  <c r="E178" i="1"/>
  <c r="AB177" i="1"/>
  <c r="AB174" i="1" s="1"/>
  <c r="AA177" i="1"/>
  <c r="Z177" i="1"/>
  <c r="Y177" i="1"/>
  <c r="X177" i="1"/>
  <c r="W177" i="1"/>
  <c r="W174" i="1" s="1"/>
  <c r="V177" i="1"/>
  <c r="U177" i="1"/>
  <c r="T177" i="1"/>
  <c r="S177" i="1"/>
  <c r="R177" i="1"/>
  <c r="Q177" i="1"/>
  <c r="P177" i="1"/>
  <c r="P174" i="1" s="1"/>
  <c r="O177" i="1"/>
  <c r="N177" i="1"/>
  <c r="M177" i="1"/>
  <c r="L177" i="1"/>
  <c r="K177" i="1"/>
  <c r="J177" i="1"/>
  <c r="I177" i="1"/>
  <c r="H177" i="1"/>
  <c r="G177" i="1"/>
  <c r="F177" i="1"/>
  <c r="E177" i="1"/>
  <c r="D177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 s="1"/>
  <c r="AB175" i="1"/>
  <c r="AA175" i="1"/>
  <c r="Z175" i="1"/>
  <c r="Z174" i="1" s="1"/>
  <c r="Y175" i="1"/>
  <c r="Y174" i="1" s="1"/>
  <c r="X175" i="1"/>
  <c r="X174" i="1" s="1"/>
  <c r="W175" i="1"/>
  <c r="V175" i="1"/>
  <c r="U175" i="1"/>
  <c r="U174" i="1" s="1"/>
  <c r="T175" i="1"/>
  <c r="S175" i="1"/>
  <c r="R175" i="1"/>
  <c r="Q175" i="1"/>
  <c r="P175" i="1"/>
  <c r="O175" i="1"/>
  <c r="N175" i="1"/>
  <c r="M175" i="1"/>
  <c r="M174" i="1" s="1"/>
  <c r="L175" i="1"/>
  <c r="K175" i="1"/>
  <c r="J175" i="1"/>
  <c r="I175" i="1"/>
  <c r="I174" i="1" s="1"/>
  <c r="H175" i="1"/>
  <c r="G175" i="1"/>
  <c r="F175" i="1"/>
  <c r="D175" i="1" s="1"/>
  <c r="E175" i="1"/>
  <c r="FE174" i="1"/>
  <c r="FD174" i="1"/>
  <c r="FC174" i="1"/>
  <c r="FB174" i="1"/>
  <c r="FA174" i="1"/>
  <c r="EZ174" i="1"/>
  <c r="EY174" i="1"/>
  <c r="EX174" i="1"/>
  <c r="EW174" i="1"/>
  <c r="EV174" i="1"/>
  <c r="EU174" i="1"/>
  <c r="ET174" i="1"/>
  <c r="ES174" i="1"/>
  <c r="ER174" i="1"/>
  <c r="EQ174" i="1"/>
  <c r="EP174" i="1"/>
  <c r="EO174" i="1"/>
  <c r="EN174" i="1"/>
  <c r="EM174" i="1"/>
  <c r="EL174" i="1"/>
  <c r="EK174" i="1"/>
  <c r="EJ174" i="1"/>
  <c r="EI174" i="1"/>
  <c r="EH174" i="1"/>
  <c r="EG174" i="1"/>
  <c r="EF174" i="1"/>
  <c r="EE174" i="1"/>
  <c r="ED174" i="1"/>
  <c r="EC174" i="1"/>
  <c r="EB174" i="1"/>
  <c r="EA174" i="1"/>
  <c r="DZ174" i="1"/>
  <c r="DY174" i="1"/>
  <c r="DX174" i="1"/>
  <c r="DW174" i="1"/>
  <c r="DV174" i="1"/>
  <c r="DU174" i="1"/>
  <c r="DT174" i="1"/>
  <c r="DS174" i="1"/>
  <c r="DR174" i="1"/>
  <c r="DQ174" i="1"/>
  <c r="DP174" i="1"/>
  <c r="DO174" i="1"/>
  <c r="DN174" i="1"/>
  <c r="DM174" i="1"/>
  <c r="DL174" i="1"/>
  <c r="DK174" i="1"/>
  <c r="DJ174" i="1"/>
  <c r="DI174" i="1"/>
  <c r="DH174" i="1"/>
  <c r="DG174" i="1"/>
  <c r="DF174" i="1"/>
  <c r="DE174" i="1"/>
  <c r="DD174" i="1"/>
  <c r="DC174" i="1"/>
  <c r="DB174" i="1"/>
  <c r="DA174" i="1"/>
  <c r="CZ174" i="1"/>
  <c r="CY174" i="1"/>
  <c r="CX174" i="1"/>
  <c r="CW174" i="1"/>
  <c r="CV174" i="1"/>
  <c r="CU174" i="1"/>
  <c r="CT174" i="1"/>
  <c r="CS174" i="1"/>
  <c r="CR174" i="1"/>
  <c r="CQ174" i="1"/>
  <c r="CP174" i="1"/>
  <c r="CO174" i="1"/>
  <c r="CN174" i="1"/>
  <c r="CM174" i="1"/>
  <c r="CL174" i="1"/>
  <c r="CK174" i="1"/>
  <c r="CJ174" i="1"/>
  <c r="CI174" i="1"/>
  <c r="CH174" i="1"/>
  <c r="CG174" i="1"/>
  <c r="CF174" i="1"/>
  <c r="CE174" i="1"/>
  <c r="CD174" i="1"/>
  <c r="CC174" i="1"/>
  <c r="CB174" i="1"/>
  <c r="CA174" i="1"/>
  <c r="BZ174" i="1"/>
  <c r="BY174" i="1"/>
  <c r="BX174" i="1"/>
  <c r="BW174" i="1"/>
  <c r="BV174" i="1"/>
  <c r="BU174" i="1"/>
  <c r="BT174" i="1"/>
  <c r="BS174" i="1"/>
  <c r="BR174" i="1"/>
  <c r="BQ174" i="1"/>
  <c r="BP174" i="1"/>
  <c r="BO174" i="1"/>
  <c r="BN174" i="1"/>
  <c r="BM174" i="1"/>
  <c r="BL174" i="1"/>
  <c r="BK174" i="1"/>
  <c r="BJ174" i="1"/>
  <c r="BI174" i="1"/>
  <c r="BH174" i="1"/>
  <c r="BG174" i="1"/>
  <c r="BF174" i="1"/>
  <c r="BE174" i="1"/>
  <c r="BD174" i="1"/>
  <c r="BC174" i="1"/>
  <c r="BB174" i="1"/>
  <c r="BA174" i="1"/>
  <c r="AZ174" i="1"/>
  <c r="AY174" i="1"/>
  <c r="AX174" i="1"/>
  <c r="AW174" i="1"/>
  <c r="AV174" i="1"/>
  <c r="AU174" i="1"/>
  <c r="AT174" i="1"/>
  <c r="AS174" i="1"/>
  <c r="AR174" i="1"/>
  <c r="AQ174" i="1"/>
  <c r="AP174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3" i="1"/>
  <c r="AB171" i="1" s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C173" i="1"/>
  <c r="AB172" i="1"/>
  <c r="AA172" i="1"/>
  <c r="AA171" i="1" s="1"/>
  <c r="Z172" i="1"/>
  <c r="Z171" i="1" s="1"/>
  <c r="Y172" i="1"/>
  <c r="X172" i="1"/>
  <c r="X171" i="1" s="1"/>
  <c r="W172" i="1"/>
  <c r="W171" i="1" s="1"/>
  <c r="V172" i="1"/>
  <c r="U172" i="1"/>
  <c r="T172" i="1"/>
  <c r="S172" i="1"/>
  <c r="R172" i="1"/>
  <c r="R171" i="1" s="1"/>
  <c r="Q172" i="1"/>
  <c r="Q171" i="1" s="1"/>
  <c r="P172" i="1"/>
  <c r="O172" i="1"/>
  <c r="O171" i="1" s="1"/>
  <c r="N172" i="1"/>
  <c r="N171" i="1" s="1"/>
  <c r="M172" i="1"/>
  <c r="L172" i="1"/>
  <c r="L171" i="1" s="1"/>
  <c r="K172" i="1"/>
  <c r="J172" i="1"/>
  <c r="I172" i="1"/>
  <c r="H172" i="1"/>
  <c r="G172" i="1"/>
  <c r="F172" i="1"/>
  <c r="F171" i="1" s="1"/>
  <c r="E172" i="1"/>
  <c r="FE171" i="1"/>
  <c r="FD171" i="1"/>
  <c r="FC171" i="1"/>
  <c r="FB171" i="1"/>
  <c r="FA171" i="1"/>
  <c r="EZ171" i="1"/>
  <c r="EY171" i="1"/>
  <c r="EX171" i="1"/>
  <c r="EW171" i="1"/>
  <c r="EV171" i="1"/>
  <c r="EU171" i="1"/>
  <c r="ET171" i="1"/>
  <c r="ES171" i="1"/>
  <c r="ER171" i="1"/>
  <c r="EQ171" i="1"/>
  <c r="EP171" i="1"/>
  <c r="EO171" i="1"/>
  <c r="EN171" i="1"/>
  <c r="EM171" i="1"/>
  <c r="EL171" i="1"/>
  <c r="EK171" i="1"/>
  <c r="EJ171" i="1"/>
  <c r="EI171" i="1"/>
  <c r="EH171" i="1"/>
  <c r="EG171" i="1"/>
  <c r="EF171" i="1"/>
  <c r="EE171" i="1"/>
  <c r="ED171" i="1"/>
  <c r="EC171" i="1"/>
  <c r="EB171" i="1"/>
  <c r="EA171" i="1"/>
  <c r="DZ171" i="1"/>
  <c r="DY171" i="1"/>
  <c r="DX171" i="1"/>
  <c r="DW171" i="1"/>
  <c r="DV171" i="1"/>
  <c r="DU171" i="1"/>
  <c r="DT171" i="1"/>
  <c r="DS171" i="1"/>
  <c r="DR171" i="1"/>
  <c r="DQ171" i="1"/>
  <c r="DP171" i="1"/>
  <c r="DO171" i="1"/>
  <c r="DN171" i="1"/>
  <c r="DM171" i="1"/>
  <c r="DL171" i="1"/>
  <c r="DK171" i="1"/>
  <c r="DJ171" i="1"/>
  <c r="DI171" i="1"/>
  <c r="DH171" i="1"/>
  <c r="DG171" i="1"/>
  <c r="DF171" i="1"/>
  <c r="DE171" i="1"/>
  <c r="DD171" i="1"/>
  <c r="DC171" i="1"/>
  <c r="DB171" i="1"/>
  <c r="DA171" i="1"/>
  <c r="CZ171" i="1"/>
  <c r="CY171" i="1"/>
  <c r="CX171" i="1"/>
  <c r="CW171" i="1"/>
  <c r="CV171" i="1"/>
  <c r="CU171" i="1"/>
  <c r="CT171" i="1"/>
  <c r="CS171" i="1"/>
  <c r="CR171" i="1"/>
  <c r="CQ171" i="1"/>
  <c r="CP171" i="1"/>
  <c r="CO171" i="1"/>
  <c r="CN171" i="1"/>
  <c r="CM171" i="1"/>
  <c r="CL171" i="1"/>
  <c r="CK171" i="1"/>
  <c r="CJ171" i="1"/>
  <c r="CI171" i="1"/>
  <c r="CH171" i="1"/>
  <c r="CG171" i="1"/>
  <c r="CF171" i="1"/>
  <c r="CE171" i="1"/>
  <c r="CD171" i="1"/>
  <c r="CC171" i="1"/>
  <c r="CB171" i="1"/>
  <c r="CA171" i="1"/>
  <c r="BZ171" i="1"/>
  <c r="BY171" i="1"/>
  <c r="BX171" i="1"/>
  <c r="BW171" i="1"/>
  <c r="BV171" i="1"/>
  <c r="BU171" i="1"/>
  <c r="BT171" i="1"/>
  <c r="BS171" i="1"/>
  <c r="BR171" i="1"/>
  <c r="BQ171" i="1"/>
  <c r="BP171" i="1"/>
  <c r="BO171" i="1"/>
  <c r="BN171" i="1"/>
  <c r="BM171" i="1"/>
  <c r="BL171" i="1"/>
  <c r="BK171" i="1"/>
  <c r="BJ171" i="1"/>
  <c r="BI171" i="1"/>
  <c r="BH171" i="1"/>
  <c r="BG171" i="1"/>
  <c r="BF171" i="1"/>
  <c r="BE171" i="1"/>
  <c r="BD171" i="1"/>
  <c r="BC171" i="1"/>
  <c r="BB171" i="1"/>
  <c r="BA171" i="1"/>
  <c r="AZ171" i="1"/>
  <c r="AY171" i="1"/>
  <c r="AX171" i="1"/>
  <c r="AW171" i="1"/>
  <c r="AV171" i="1"/>
  <c r="AU171" i="1"/>
  <c r="AT171" i="1"/>
  <c r="AS171" i="1"/>
  <c r="AR171" i="1"/>
  <c r="AQ171" i="1"/>
  <c r="AP171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Y171" i="1"/>
  <c r="V171" i="1"/>
  <c r="T171" i="1"/>
  <c r="M171" i="1"/>
  <c r="J171" i="1"/>
  <c r="H171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 s="1"/>
  <c r="C170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C169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D168" i="1" s="1"/>
  <c r="E168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D167" i="1" s="1"/>
  <c r="F167" i="1"/>
  <c r="E167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 s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D165" i="1" s="1"/>
  <c r="E165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AB163" i="1"/>
  <c r="AA163" i="1"/>
  <c r="Z163" i="1"/>
  <c r="Y163" i="1"/>
  <c r="X163" i="1"/>
  <c r="W163" i="1"/>
  <c r="W160" i="1" s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AB162" i="1"/>
  <c r="AA162" i="1"/>
  <c r="Z162" i="1"/>
  <c r="Y162" i="1"/>
  <c r="X162" i="1"/>
  <c r="X160" i="1" s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AB161" i="1"/>
  <c r="AB160" i="1" s="1"/>
  <c r="AA161" i="1"/>
  <c r="Z161" i="1"/>
  <c r="Z160" i="1" s="1"/>
  <c r="Y161" i="1"/>
  <c r="Y160" i="1" s="1"/>
  <c r="X161" i="1"/>
  <c r="W161" i="1"/>
  <c r="V161" i="1"/>
  <c r="V160" i="1" s="1"/>
  <c r="U161" i="1"/>
  <c r="U160" i="1" s="1"/>
  <c r="T161" i="1"/>
  <c r="T160" i="1" s="1"/>
  <c r="S161" i="1"/>
  <c r="S160" i="1" s="1"/>
  <c r="R161" i="1"/>
  <c r="Q161" i="1"/>
  <c r="Q160" i="1" s="1"/>
  <c r="P161" i="1"/>
  <c r="P160" i="1" s="1"/>
  <c r="O161" i="1"/>
  <c r="N161" i="1"/>
  <c r="N160" i="1" s="1"/>
  <c r="M161" i="1"/>
  <c r="L161" i="1"/>
  <c r="K161" i="1"/>
  <c r="J161" i="1"/>
  <c r="J160" i="1" s="1"/>
  <c r="I161" i="1"/>
  <c r="I160" i="1" s="1"/>
  <c r="H161" i="1"/>
  <c r="H160" i="1" s="1"/>
  <c r="G161" i="1"/>
  <c r="G160" i="1" s="1"/>
  <c r="F161" i="1"/>
  <c r="E161" i="1"/>
  <c r="E160" i="1" s="1"/>
  <c r="FE160" i="1"/>
  <c r="FD160" i="1"/>
  <c r="FC160" i="1"/>
  <c r="FB160" i="1"/>
  <c r="FA160" i="1"/>
  <c r="EZ160" i="1"/>
  <c r="EY160" i="1"/>
  <c r="EX160" i="1"/>
  <c r="EW160" i="1"/>
  <c r="EV160" i="1"/>
  <c r="EU160" i="1"/>
  <c r="ET160" i="1"/>
  <c r="ES160" i="1"/>
  <c r="ER160" i="1"/>
  <c r="EQ160" i="1"/>
  <c r="EP160" i="1"/>
  <c r="EO160" i="1"/>
  <c r="EN160" i="1"/>
  <c r="EM160" i="1"/>
  <c r="EL160" i="1"/>
  <c r="EK160" i="1"/>
  <c r="EJ160" i="1"/>
  <c r="EI160" i="1"/>
  <c r="EH160" i="1"/>
  <c r="EG160" i="1"/>
  <c r="EF160" i="1"/>
  <c r="EE160" i="1"/>
  <c r="ED160" i="1"/>
  <c r="EC160" i="1"/>
  <c r="EB160" i="1"/>
  <c r="EA160" i="1"/>
  <c r="DZ160" i="1"/>
  <c r="DY160" i="1"/>
  <c r="DX160" i="1"/>
  <c r="DW160" i="1"/>
  <c r="DV160" i="1"/>
  <c r="DU160" i="1"/>
  <c r="DT160" i="1"/>
  <c r="DS160" i="1"/>
  <c r="DR160" i="1"/>
  <c r="DQ160" i="1"/>
  <c r="DP160" i="1"/>
  <c r="DO160" i="1"/>
  <c r="DN160" i="1"/>
  <c r="DM160" i="1"/>
  <c r="DL160" i="1"/>
  <c r="DK160" i="1"/>
  <c r="DJ160" i="1"/>
  <c r="DI160" i="1"/>
  <c r="DH160" i="1"/>
  <c r="DG160" i="1"/>
  <c r="DF160" i="1"/>
  <c r="DE160" i="1"/>
  <c r="DD160" i="1"/>
  <c r="DC160" i="1"/>
  <c r="DB160" i="1"/>
  <c r="DA160" i="1"/>
  <c r="CZ160" i="1"/>
  <c r="CY160" i="1"/>
  <c r="CX160" i="1"/>
  <c r="CW160" i="1"/>
  <c r="CV160" i="1"/>
  <c r="CU160" i="1"/>
  <c r="CT160" i="1"/>
  <c r="CS160" i="1"/>
  <c r="CR160" i="1"/>
  <c r="CQ160" i="1"/>
  <c r="CP160" i="1"/>
  <c r="CO160" i="1"/>
  <c r="CN160" i="1"/>
  <c r="CM160" i="1"/>
  <c r="CL160" i="1"/>
  <c r="CK160" i="1"/>
  <c r="CJ160" i="1"/>
  <c r="CI160" i="1"/>
  <c r="CH160" i="1"/>
  <c r="CG160" i="1"/>
  <c r="CF160" i="1"/>
  <c r="CE160" i="1"/>
  <c r="CD160" i="1"/>
  <c r="CC160" i="1"/>
  <c r="CB160" i="1"/>
  <c r="CA160" i="1"/>
  <c r="BZ160" i="1"/>
  <c r="BY160" i="1"/>
  <c r="BX160" i="1"/>
  <c r="BW160" i="1"/>
  <c r="BV160" i="1"/>
  <c r="BU160" i="1"/>
  <c r="BT160" i="1"/>
  <c r="BS160" i="1"/>
  <c r="BR160" i="1"/>
  <c r="BQ160" i="1"/>
  <c r="BP160" i="1"/>
  <c r="BO160" i="1"/>
  <c r="BN160" i="1"/>
  <c r="BM160" i="1"/>
  <c r="BL160" i="1"/>
  <c r="BK160" i="1"/>
  <c r="BJ160" i="1"/>
  <c r="BI160" i="1"/>
  <c r="BH160" i="1"/>
  <c r="BG160" i="1"/>
  <c r="BF160" i="1"/>
  <c r="BE160" i="1"/>
  <c r="BD160" i="1"/>
  <c r="BC160" i="1"/>
  <c r="BB160" i="1"/>
  <c r="BA160" i="1"/>
  <c r="AZ160" i="1"/>
  <c r="AY160" i="1"/>
  <c r="AX160" i="1"/>
  <c r="AW160" i="1"/>
  <c r="AV160" i="1"/>
  <c r="AU160" i="1"/>
  <c r="AT160" i="1"/>
  <c r="AS160" i="1"/>
  <c r="AR160" i="1"/>
  <c r="AQ160" i="1"/>
  <c r="AP160" i="1"/>
  <c r="AO160" i="1"/>
  <c r="AN160" i="1"/>
  <c r="AM160" i="1"/>
  <c r="AL160" i="1"/>
  <c r="AK160" i="1"/>
  <c r="AJ160" i="1"/>
  <c r="AI160" i="1"/>
  <c r="AH160" i="1"/>
  <c r="AG160" i="1"/>
  <c r="AF160" i="1"/>
  <c r="AE160" i="1"/>
  <c r="AD160" i="1"/>
  <c r="AC160" i="1"/>
  <c r="AA160" i="1"/>
  <c r="O160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D159" i="1" s="1"/>
  <c r="O159" i="1"/>
  <c r="N159" i="1"/>
  <c r="M159" i="1"/>
  <c r="L159" i="1"/>
  <c r="K159" i="1"/>
  <c r="J159" i="1"/>
  <c r="I159" i="1"/>
  <c r="H159" i="1"/>
  <c r="G159" i="1"/>
  <c r="F159" i="1"/>
  <c r="E159" i="1"/>
  <c r="C159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D158" i="1" s="1"/>
  <c r="E158" i="1"/>
  <c r="C158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 s="1"/>
  <c r="C157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 s="1"/>
  <c r="AB155" i="1"/>
  <c r="AA155" i="1" a="1"/>
  <c r="AA155" i="1" s="1"/>
  <c r="Z155" i="1"/>
  <c r="Y155" i="1"/>
  <c r="X155" i="1"/>
  <c r="X147" i="1" s="1"/>
  <c r="W155" i="1"/>
  <c r="V155" i="1"/>
  <c r="U155" i="1"/>
  <c r="T155" i="1"/>
  <c r="S155" i="1"/>
  <c r="R155" i="1"/>
  <c r="Q155" i="1"/>
  <c r="P155" i="1"/>
  <c r="O155" i="1"/>
  <c r="N155" i="1"/>
  <c r="M155" i="1"/>
  <c r="L155" i="1"/>
  <c r="L147" i="1" s="1"/>
  <c r="K155" i="1"/>
  <c r="J155" i="1"/>
  <c r="I155" i="1"/>
  <c r="H155" i="1"/>
  <c r="G155" i="1"/>
  <c r="F155" i="1"/>
  <c r="E155" i="1"/>
  <c r="D155" i="1" s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D154" i="1" s="1"/>
  <c r="L154" i="1"/>
  <c r="K154" i="1"/>
  <c r="J154" i="1"/>
  <c r="I154" i="1"/>
  <c r="H154" i="1"/>
  <c r="G154" i="1"/>
  <c r="F154" i="1"/>
  <c r="E154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 s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D152" i="1" s="1"/>
  <c r="E152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Q147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 s="1"/>
  <c r="AB149" i="1"/>
  <c r="AA149" i="1"/>
  <c r="Z149" i="1"/>
  <c r="Y149" i="1"/>
  <c r="X149" i="1"/>
  <c r="W149" i="1"/>
  <c r="V149" i="1"/>
  <c r="U149" i="1"/>
  <c r="T149" i="1"/>
  <c r="S149" i="1"/>
  <c r="R149" i="1"/>
  <c r="R147" i="1" s="1"/>
  <c r="Q149" i="1"/>
  <c r="P149" i="1"/>
  <c r="O149" i="1"/>
  <c r="N149" i="1"/>
  <c r="M149" i="1"/>
  <c r="L149" i="1"/>
  <c r="K149" i="1"/>
  <c r="J149" i="1"/>
  <c r="I149" i="1"/>
  <c r="H149" i="1"/>
  <c r="G149" i="1"/>
  <c r="F149" i="1"/>
  <c r="D149" i="1" s="1"/>
  <c r="E149" i="1"/>
  <c r="AB148" i="1"/>
  <c r="AB147" i="1" s="1"/>
  <c r="AA148" i="1"/>
  <c r="AA147" i="1" s="1"/>
  <c r="Z148" i="1"/>
  <c r="Z147" i="1" s="1"/>
  <c r="Y148" i="1"/>
  <c r="Y147" i="1" s="1"/>
  <c r="X148" i="1"/>
  <c r="W148" i="1"/>
  <c r="W147" i="1" s="1"/>
  <c r="V148" i="1"/>
  <c r="V147" i="1" s="1"/>
  <c r="U148" i="1"/>
  <c r="T148" i="1"/>
  <c r="T147" i="1" s="1"/>
  <c r="S148" i="1"/>
  <c r="S147" i="1" s="1"/>
  <c r="R148" i="1"/>
  <c r="Q148" i="1"/>
  <c r="P148" i="1"/>
  <c r="P147" i="1" s="1"/>
  <c r="O148" i="1"/>
  <c r="O147" i="1" s="1"/>
  <c r="N148" i="1"/>
  <c r="N147" i="1" s="1"/>
  <c r="M148" i="1"/>
  <c r="M147" i="1" s="1"/>
  <c r="L148" i="1"/>
  <c r="K148" i="1"/>
  <c r="K147" i="1" s="1"/>
  <c r="J148" i="1"/>
  <c r="J147" i="1" s="1"/>
  <c r="I148" i="1"/>
  <c r="H148" i="1"/>
  <c r="H147" i="1" s="1"/>
  <c r="G148" i="1"/>
  <c r="G147" i="1" s="1"/>
  <c r="F148" i="1"/>
  <c r="E148" i="1"/>
  <c r="FE147" i="1"/>
  <c r="FD147" i="1"/>
  <c r="FC147" i="1"/>
  <c r="FB147" i="1"/>
  <c r="FA147" i="1"/>
  <c r="EZ147" i="1"/>
  <c r="EY147" i="1"/>
  <c r="EX147" i="1"/>
  <c r="EW147" i="1"/>
  <c r="EV147" i="1"/>
  <c r="EU147" i="1"/>
  <c r="ET147" i="1"/>
  <c r="ES147" i="1"/>
  <c r="ER147" i="1"/>
  <c r="EQ147" i="1"/>
  <c r="EP147" i="1"/>
  <c r="EO147" i="1"/>
  <c r="EN147" i="1"/>
  <c r="EM147" i="1"/>
  <c r="EL147" i="1"/>
  <c r="EK147" i="1"/>
  <c r="EJ147" i="1"/>
  <c r="EI147" i="1"/>
  <c r="EH147" i="1"/>
  <c r="EG147" i="1"/>
  <c r="EF147" i="1"/>
  <c r="EE147" i="1"/>
  <c r="ED147" i="1"/>
  <c r="EC147" i="1"/>
  <c r="EB147" i="1"/>
  <c r="EA147" i="1"/>
  <c r="DZ147" i="1"/>
  <c r="DY147" i="1"/>
  <c r="DX147" i="1"/>
  <c r="DW147" i="1"/>
  <c r="DV147" i="1"/>
  <c r="DU147" i="1"/>
  <c r="DT147" i="1"/>
  <c r="DS147" i="1"/>
  <c r="DR147" i="1"/>
  <c r="DQ147" i="1"/>
  <c r="DP147" i="1"/>
  <c r="DO147" i="1"/>
  <c r="DN147" i="1"/>
  <c r="DM147" i="1"/>
  <c r="DL147" i="1"/>
  <c r="DK147" i="1"/>
  <c r="DJ147" i="1"/>
  <c r="DI147" i="1"/>
  <c r="DH147" i="1"/>
  <c r="DG147" i="1"/>
  <c r="DF147" i="1"/>
  <c r="DE147" i="1"/>
  <c r="DD147" i="1"/>
  <c r="DC147" i="1"/>
  <c r="DB147" i="1"/>
  <c r="DA147" i="1"/>
  <c r="CZ147" i="1"/>
  <c r="CY147" i="1"/>
  <c r="CX147" i="1"/>
  <c r="CW147" i="1"/>
  <c r="CV147" i="1"/>
  <c r="CU147" i="1"/>
  <c r="CT147" i="1"/>
  <c r="CS147" i="1"/>
  <c r="CR147" i="1"/>
  <c r="CQ147" i="1"/>
  <c r="CP147" i="1"/>
  <c r="CO147" i="1"/>
  <c r="CN147" i="1"/>
  <c r="CM147" i="1"/>
  <c r="CL147" i="1"/>
  <c r="CK147" i="1"/>
  <c r="CJ147" i="1"/>
  <c r="CI147" i="1"/>
  <c r="CH147" i="1"/>
  <c r="CG147" i="1"/>
  <c r="CF147" i="1"/>
  <c r="CE147" i="1"/>
  <c r="CD147" i="1"/>
  <c r="CC147" i="1"/>
  <c r="CB147" i="1"/>
  <c r="CA147" i="1"/>
  <c r="BZ147" i="1"/>
  <c r="BY147" i="1"/>
  <c r="BX147" i="1"/>
  <c r="BW147" i="1"/>
  <c r="BV147" i="1"/>
  <c r="BU147" i="1"/>
  <c r="BT147" i="1"/>
  <c r="BS147" i="1"/>
  <c r="BR147" i="1"/>
  <c r="BQ147" i="1"/>
  <c r="BP147" i="1"/>
  <c r="BO147" i="1"/>
  <c r="BN147" i="1"/>
  <c r="BM147" i="1"/>
  <c r="BL147" i="1"/>
  <c r="BK147" i="1"/>
  <c r="BJ147" i="1"/>
  <c r="BI147" i="1"/>
  <c r="BH147" i="1"/>
  <c r="BG147" i="1"/>
  <c r="BF147" i="1"/>
  <c r="BE147" i="1"/>
  <c r="BD147" i="1"/>
  <c r="BC147" i="1"/>
  <c r="BB147" i="1"/>
  <c r="BA147" i="1"/>
  <c r="AZ147" i="1"/>
  <c r="AY147" i="1"/>
  <c r="AX147" i="1"/>
  <c r="AW147" i="1"/>
  <c r="AV147" i="1"/>
  <c r="AU147" i="1"/>
  <c r="AT147" i="1"/>
  <c r="AS147" i="1"/>
  <c r="AR147" i="1"/>
  <c r="AQ147" i="1"/>
  <c r="AP147" i="1"/>
  <c r="AO147" i="1"/>
  <c r="AN147" i="1"/>
  <c r="AM147" i="1"/>
  <c r="AL147" i="1"/>
  <c r="AK147" i="1"/>
  <c r="AJ147" i="1"/>
  <c r="AI147" i="1"/>
  <c r="AH147" i="1"/>
  <c r="AG147" i="1"/>
  <c r="AF147" i="1"/>
  <c r="AE147" i="1"/>
  <c r="AD147" i="1"/>
  <c r="AC147" i="1"/>
  <c r="U147" i="1"/>
  <c r="I147" i="1"/>
  <c r="AB146" i="1"/>
  <c r="AA146" i="1"/>
  <c r="Z146" i="1"/>
  <c r="Y146" i="1"/>
  <c r="X146" i="1"/>
  <c r="W146" i="1"/>
  <c r="V146" i="1"/>
  <c r="U146" i="1"/>
  <c r="U141" i="1" s="1"/>
  <c r="T146" i="1"/>
  <c r="S146" i="1"/>
  <c r="R146" i="1"/>
  <c r="Q146" i="1"/>
  <c r="P146" i="1"/>
  <c r="O146" i="1"/>
  <c r="N146" i="1"/>
  <c r="M146" i="1"/>
  <c r="L146" i="1"/>
  <c r="K146" i="1"/>
  <c r="J146" i="1"/>
  <c r="I146" i="1"/>
  <c r="I141" i="1" s="1"/>
  <c r="H146" i="1"/>
  <c r="G146" i="1"/>
  <c r="F146" i="1"/>
  <c r="E146" i="1"/>
  <c r="C146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C145" i="1"/>
  <c r="AB144" i="1"/>
  <c r="AA144" i="1"/>
  <c r="Z144" i="1"/>
  <c r="Z141" i="1" s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AB143" i="1"/>
  <c r="AA143" i="1"/>
  <c r="AA141" i="1" s="1"/>
  <c r="Z143" i="1"/>
  <c r="Y143" i="1"/>
  <c r="X143" i="1"/>
  <c r="W143" i="1"/>
  <c r="V143" i="1"/>
  <c r="U143" i="1"/>
  <c r="T143" i="1"/>
  <c r="S143" i="1"/>
  <c r="R143" i="1"/>
  <c r="Q143" i="1"/>
  <c r="P143" i="1"/>
  <c r="O143" i="1"/>
  <c r="O141" i="1" s="1"/>
  <c r="N143" i="1"/>
  <c r="M143" i="1"/>
  <c r="L143" i="1"/>
  <c r="K143" i="1"/>
  <c r="J143" i="1"/>
  <c r="I143" i="1"/>
  <c r="H143" i="1"/>
  <c r="G143" i="1"/>
  <c r="F143" i="1"/>
  <c r="E143" i="1"/>
  <c r="AB142" i="1"/>
  <c r="AB141" i="1" s="1"/>
  <c r="AA142" i="1"/>
  <c r="Z142" i="1"/>
  <c r="Y142" i="1"/>
  <c r="Y141" i="1" s="1"/>
  <c r="X142" i="1"/>
  <c r="X141" i="1" s="1"/>
  <c r="W142" i="1"/>
  <c r="W141" i="1" s="1"/>
  <c r="V142" i="1"/>
  <c r="U142" i="1"/>
  <c r="T142" i="1"/>
  <c r="T141" i="1" s="1"/>
  <c r="S142" i="1"/>
  <c r="S141" i="1" s="1"/>
  <c r="R142" i="1"/>
  <c r="Q142" i="1"/>
  <c r="Q141" i="1" s="1"/>
  <c r="P142" i="1"/>
  <c r="P141" i="1" s="1"/>
  <c r="O142" i="1"/>
  <c r="N142" i="1"/>
  <c r="M142" i="1"/>
  <c r="M141" i="1" s="1"/>
  <c r="L142" i="1"/>
  <c r="L141" i="1" s="1"/>
  <c r="K142" i="1"/>
  <c r="K141" i="1" s="1"/>
  <c r="J142" i="1"/>
  <c r="I142" i="1"/>
  <c r="H142" i="1"/>
  <c r="H141" i="1" s="1"/>
  <c r="G142" i="1"/>
  <c r="G141" i="1" s="1"/>
  <c r="F142" i="1"/>
  <c r="E142" i="1"/>
  <c r="E141" i="1" s="1"/>
  <c r="FE141" i="1"/>
  <c r="FD141" i="1"/>
  <c r="FC141" i="1"/>
  <c r="FB141" i="1"/>
  <c r="FA141" i="1"/>
  <c r="EZ141" i="1"/>
  <c r="EY141" i="1"/>
  <c r="EX141" i="1"/>
  <c r="EW141" i="1"/>
  <c r="EV141" i="1"/>
  <c r="EU141" i="1"/>
  <c r="ET141" i="1"/>
  <c r="ES141" i="1"/>
  <c r="ER141" i="1"/>
  <c r="EQ141" i="1"/>
  <c r="EP141" i="1"/>
  <c r="EO141" i="1"/>
  <c r="EN141" i="1"/>
  <c r="EM141" i="1"/>
  <c r="EL141" i="1"/>
  <c r="EK141" i="1"/>
  <c r="EJ141" i="1"/>
  <c r="EI141" i="1"/>
  <c r="EH141" i="1"/>
  <c r="EG141" i="1"/>
  <c r="EF141" i="1"/>
  <c r="EE141" i="1"/>
  <c r="ED141" i="1"/>
  <c r="EC141" i="1"/>
  <c r="EB141" i="1"/>
  <c r="EA141" i="1"/>
  <c r="DZ141" i="1"/>
  <c r="DY141" i="1"/>
  <c r="DX141" i="1"/>
  <c r="DW141" i="1"/>
  <c r="DV141" i="1"/>
  <c r="DU141" i="1"/>
  <c r="DT141" i="1"/>
  <c r="DS141" i="1"/>
  <c r="DR141" i="1"/>
  <c r="DQ141" i="1"/>
  <c r="DP141" i="1"/>
  <c r="DO141" i="1"/>
  <c r="DN141" i="1"/>
  <c r="DM141" i="1"/>
  <c r="DL141" i="1"/>
  <c r="DK141" i="1"/>
  <c r="DJ141" i="1"/>
  <c r="DI141" i="1"/>
  <c r="DH141" i="1"/>
  <c r="DG141" i="1"/>
  <c r="DF141" i="1"/>
  <c r="DE141" i="1"/>
  <c r="DD141" i="1"/>
  <c r="DC141" i="1"/>
  <c r="DB141" i="1"/>
  <c r="DA141" i="1"/>
  <c r="CZ141" i="1"/>
  <c r="CY141" i="1"/>
  <c r="CX141" i="1"/>
  <c r="CW141" i="1"/>
  <c r="CV141" i="1"/>
  <c r="CU141" i="1"/>
  <c r="CT141" i="1"/>
  <c r="CS141" i="1"/>
  <c r="CR141" i="1"/>
  <c r="CQ141" i="1"/>
  <c r="CP141" i="1"/>
  <c r="CO141" i="1"/>
  <c r="CN141" i="1"/>
  <c r="CM141" i="1"/>
  <c r="CL141" i="1"/>
  <c r="CK141" i="1"/>
  <c r="CJ141" i="1"/>
  <c r="CI141" i="1"/>
  <c r="CH141" i="1"/>
  <c r="CG141" i="1"/>
  <c r="CF141" i="1"/>
  <c r="CE141" i="1"/>
  <c r="CD141" i="1"/>
  <c r="CC141" i="1"/>
  <c r="CB141" i="1"/>
  <c r="CA141" i="1"/>
  <c r="BZ141" i="1"/>
  <c r="BY141" i="1"/>
  <c r="BX141" i="1"/>
  <c r="BW141" i="1"/>
  <c r="BV141" i="1"/>
  <c r="BU141" i="1"/>
  <c r="BT141" i="1"/>
  <c r="BS141" i="1"/>
  <c r="BR141" i="1"/>
  <c r="BQ141" i="1"/>
  <c r="BP141" i="1"/>
  <c r="BO141" i="1"/>
  <c r="BN141" i="1"/>
  <c r="BM141" i="1"/>
  <c r="BL141" i="1"/>
  <c r="BK141" i="1"/>
  <c r="BJ141" i="1"/>
  <c r="BI141" i="1"/>
  <c r="BH141" i="1"/>
  <c r="BG141" i="1"/>
  <c r="BF141" i="1"/>
  <c r="BE141" i="1"/>
  <c r="BD141" i="1"/>
  <c r="BC141" i="1"/>
  <c r="BB141" i="1"/>
  <c r="BA141" i="1"/>
  <c r="AZ141" i="1"/>
  <c r="AY141" i="1"/>
  <c r="AX141" i="1"/>
  <c r="AW141" i="1"/>
  <c r="AV141" i="1"/>
  <c r="AU141" i="1"/>
  <c r="AT141" i="1"/>
  <c r="AS141" i="1"/>
  <c r="AR141" i="1"/>
  <c r="AQ141" i="1"/>
  <c r="AP141" i="1"/>
  <c r="AO141" i="1"/>
  <c r="AN141" i="1"/>
  <c r="AM141" i="1"/>
  <c r="AL141" i="1"/>
  <c r="AK141" i="1"/>
  <c r="AJ141" i="1"/>
  <c r="AI141" i="1"/>
  <c r="AH141" i="1"/>
  <c r="AG141" i="1"/>
  <c r="AF141" i="1"/>
  <c r="AE141" i="1"/>
  <c r="AD141" i="1"/>
  <c r="AC141" i="1"/>
  <c r="R141" i="1"/>
  <c r="F141" i="1"/>
  <c r="AB140" i="1"/>
  <c r="AA140" i="1"/>
  <c r="Z140" i="1"/>
  <c r="Y140" i="1"/>
  <c r="X140" i="1"/>
  <c r="W140" i="1"/>
  <c r="V140" i="1"/>
  <c r="U140" i="1"/>
  <c r="T140" i="1"/>
  <c r="S140" i="1"/>
  <c r="S133" i="1" s="1"/>
  <c r="R140" i="1"/>
  <c r="Q140" i="1"/>
  <c r="P140" i="1"/>
  <c r="O140" i="1"/>
  <c r="N140" i="1"/>
  <c r="M140" i="1"/>
  <c r="L140" i="1"/>
  <c r="K140" i="1"/>
  <c r="J140" i="1"/>
  <c r="I140" i="1"/>
  <c r="H140" i="1"/>
  <c r="G140" i="1"/>
  <c r="G133" i="1" s="1"/>
  <c r="F140" i="1"/>
  <c r="E140" i="1"/>
  <c r="C140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 s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 s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 s="1"/>
  <c r="AB136" i="1"/>
  <c r="AA136" i="1"/>
  <c r="Z136" i="1"/>
  <c r="Y136" i="1"/>
  <c r="X136" i="1"/>
  <c r="X133" i="1" s="1"/>
  <c r="W136" i="1"/>
  <c r="V136" i="1"/>
  <c r="U136" i="1"/>
  <c r="T136" i="1"/>
  <c r="S136" i="1"/>
  <c r="R136" i="1"/>
  <c r="Q136" i="1"/>
  <c r="P136" i="1"/>
  <c r="O136" i="1"/>
  <c r="N136" i="1"/>
  <c r="M136" i="1"/>
  <c r="L136" i="1"/>
  <c r="L133" i="1" s="1"/>
  <c r="K136" i="1"/>
  <c r="J136" i="1"/>
  <c r="I136" i="1"/>
  <c r="H136" i="1"/>
  <c r="G136" i="1"/>
  <c r="F136" i="1"/>
  <c r="E136" i="1"/>
  <c r="D136" i="1" s="1"/>
  <c r="AB135" i="1"/>
  <c r="AA135" i="1"/>
  <c r="Z135" i="1"/>
  <c r="Y135" i="1"/>
  <c r="Y133" i="1" s="1"/>
  <c r="X135" i="1"/>
  <c r="W135" i="1"/>
  <c r="V135" i="1"/>
  <c r="U135" i="1"/>
  <c r="T135" i="1"/>
  <c r="S135" i="1"/>
  <c r="R135" i="1"/>
  <c r="Q135" i="1"/>
  <c r="P135" i="1"/>
  <c r="O135" i="1"/>
  <c r="N135" i="1"/>
  <c r="M135" i="1"/>
  <c r="D135" i="1" s="1"/>
  <c r="L135" i="1"/>
  <c r="K135" i="1"/>
  <c r="J135" i="1"/>
  <c r="I135" i="1"/>
  <c r="H135" i="1"/>
  <c r="G135" i="1"/>
  <c r="F135" i="1"/>
  <c r="E135" i="1"/>
  <c r="AB134" i="1"/>
  <c r="AA134" i="1"/>
  <c r="AA133" i="1" s="1"/>
  <c r="Z134" i="1"/>
  <c r="Z133" i="1" s="1"/>
  <c r="Y134" i="1"/>
  <c r="X134" i="1"/>
  <c r="W134" i="1"/>
  <c r="W133" i="1" s="1"/>
  <c r="V134" i="1"/>
  <c r="V133" i="1" s="1"/>
  <c r="U134" i="1"/>
  <c r="U133" i="1" s="1"/>
  <c r="T134" i="1"/>
  <c r="T133" i="1" s="1"/>
  <c r="S134" i="1"/>
  <c r="R134" i="1"/>
  <c r="R133" i="1" s="1"/>
  <c r="Q134" i="1"/>
  <c r="Q133" i="1" s="1"/>
  <c r="P134" i="1"/>
  <c r="O134" i="1"/>
  <c r="O133" i="1" s="1"/>
  <c r="N134" i="1"/>
  <c r="N133" i="1" s="1"/>
  <c r="M134" i="1"/>
  <c r="L134" i="1"/>
  <c r="K134" i="1"/>
  <c r="K133" i="1" s="1"/>
  <c r="J134" i="1"/>
  <c r="J133" i="1" s="1"/>
  <c r="I134" i="1"/>
  <c r="I133" i="1" s="1"/>
  <c r="H134" i="1"/>
  <c r="H133" i="1" s="1"/>
  <c r="G134" i="1"/>
  <c r="F134" i="1"/>
  <c r="F133" i="1" s="1"/>
  <c r="E134" i="1"/>
  <c r="D134" i="1" s="1"/>
  <c r="FE133" i="1"/>
  <c r="FD133" i="1"/>
  <c r="FC133" i="1"/>
  <c r="FB133" i="1"/>
  <c r="FA133" i="1"/>
  <c r="EZ133" i="1"/>
  <c r="EY133" i="1"/>
  <c r="EX133" i="1"/>
  <c r="EW133" i="1"/>
  <c r="EV133" i="1"/>
  <c r="EU133" i="1"/>
  <c r="ET133" i="1"/>
  <c r="ES133" i="1"/>
  <c r="ER133" i="1"/>
  <c r="EQ133" i="1"/>
  <c r="EP133" i="1"/>
  <c r="EO133" i="1"/>
  <c r="EN133" i="1"/>
  <c r="EM133" i="1"/>
  <c r="EL133" i="1"/>
  <c r="EK133" i="1"/>
  <c r="EJ133" i="1"/>
  <c r="EI133" i="1"/>
  <c r="EH133" i="1"/>
  <c r="EG133" i="1"/>
  <c r="EF133" i="1"/>
  <c r="EE133" i="1"/>
  <c r="ED133" i="1"/>
  <c r="EC133" i="1"/>
  <c r="EB133" i="1"/>
  <c r="EA133" i="1"/>
  <c r="DZ133" i="1"/>
  <c r="DY133" i="1"/>
  <c r="DX133" i="1"/>
  <c r="DW133" i="1"/>
  <c r="DV133" i="1"/>
  <c r="DU133" i="1"/>
  <c r="DT133" i="1"/>
  <c r="DS133" i="1"/>
  <c r="DR133" i="1"/>
  <c r="DQ133" i="1"/>
  <c r="DP133" i="1"/>
  <c r="DO133" i="1"/>
  <c r="DN133" i="1"/>
  <c r="DM133" i="1"/>
  <c r="DL133" i="1"/>
  <c r="DK133" i="1"/>
  <c r="DJ133" i="1"/>
  <c r="DI133" i="1"/>
  <c r="DH133" i="1"/>
  <c r="DG133" i="1"/>
  <c r="DF133" i="1"/>
  <c r="DE133" i="1"/>
  <c r="DD133" i="1"/>
  <c r="DC133" i="1"/>
  <c r="DB133" i="1"/>
  <c r="DA133" i="1"/>
  <c r="CZ133" i="1"/>
  <c r="CY133" i="1"/>
  <c r="CX133" i="1"/>
  <c r="CW133" i="1"/>
  <c r="CV133" i="1"/>
  <c r="CU133" i="1"/>
  <c r="CT133" i="1"/>
  <c r="CS133" i="1"/>
  <c r="CR133" i="1"/>
  <c r="CQ133" i="1"/>
  <c r="CP133" i="1"/>
  <c r="CO133" i="1"/>
  <c r="CN133" i="1"/>
  <c r="CM133" i="1"/>
  <c r="CL133" i="1"/>
  <c r="CK133" i="1"/>
  <c r="CJ133" i="1"/>
  <c r="CI133" i="1"/>
  <c r="CH133" i="1"/>
  <c r="CG133" i="1"/>
  <c r="CF133" i="1"/>
  <c r="CE133" i="1"/>
  <c r="CD133" i="1"/>
  <c r="CC133" i="1"/>
  <c r="CB133" i="1"/>
  <c r="CA133" i="1"/>
  <c r="BZ133" i="1"/>
  <c r="BY133" i="1"/>
  <c r="BX133" i="1"/>
  <c r="BW133" i="1"/>
  <c r="BV133" i="1"/>
  <c r="BU133" i="1"/>
  <c r="BT133" i="1"/>
  <c r="BS133" i="1"/>
  <c r="BR133" i="1"/>
  <c r="BQ133" i="1"/>
  <c r="BP133" i="1"/>
  <c r="BO133" i="1"/>
  <c r="BN133" i="1"/>
  <c r="BM133" i="1"/>
  <c r="BL133" i="1"/>
  <c r="BK133" i="1"/>
  <c r="BJ133" i="1"/>
  <c r="BI133" i="1"/>
  <c r="BH133" i="1"/>
  <c r="BG133" i="1"/>
  <c r="BF133" i="1"/>
  <c r="BE133" i="1"/>
  <c r="BD133" i="1"/>
  <c r="BC133" i="1"/>
  <c r="BB133" i="1"/>
  <c r="BA133" i="1"/>
  <c r="AZ133" i="1"/>
  <c r="AY133" i="1"/>
  <c r="AX133" i="1"/>
  <c r="AW133" i="1"/>
  <c r="AV133" i="1"/>
  <c r="AU133" i="1"/>
  <c r="AT133" i="1"/>
  <c r="AS133" i="1"/>
  <c r="AR133" i="1"/>
  <c r="AQ133" i="1"/>
  <c r="AP133" i="1"/>
  <c r="AO133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P133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C132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C131" i="1"/>
  <c r="AB130" i="1"/>
  <c r="AA130" i="1"/>
  <c r="Z130" i="1"/>
  <c r="Y130" i="1"/>
  <c r="X130" i="1"/>
  <c r="W130" i="1"/>
  <c r="V130" i="1"/>
  <c r="V120" i="1" s="1"/>
  <c r="U130" i="1"/>
  <c r="T130" i="1"/>
  <c r="S130" i="1"/>
  <c r="R130" i="1"/>
  <c r="Q130" i="1"/>
  <c r="P130" i="1"/>
  <c r="O130" i="1"/>
  <c r="N130" i="1"/>
  <c r="M130" i="1"/>
  <c r="L130" i="1"/>
  <c r="K130" i="1"/>
  <c r="J130" i="1"/>
  <c r="J120" i="1" s="1"/>
  <c r="I130" i="1"/>
  <c r="H130" i="1"/>
  <c r="G130" i="1"/>
  <c r="F130" i="1"/>
  <c r="E130" i="1"/>
  <c r="C130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 s="1"/>
  <c r="C129" i="1"/>
  <c r="AB128" i="1"/>
  <c r="AA128" i="1"/>
  <c r="Z128" i="1"/>
  <c r="Y128" i="1"/>
  <c r="Y120" i="1" s="1"/>
  <c r="X128" i="1"/>
  <c r="W128" i="1"/>
  <c r="V128" i="1"/>
  <c r="U128" i="1"/>
  <c r="T128" i="1"/>
  <c r="S128" i="1"/>
  <c r="R128" i="1"/>
  <c r="Q128" i="1"/>
  <c r="P128" i="1"/>
  <c r="O128" i="1"/>
  <c r="N128" i="1"/>
  <c r="M128" i="1"/>
  <c r="D128" i="1" s="1"/>
  <c r="L128" i="1"/>
  <c r="K128" i="1"/>
  <c r="J128" i="1"/>
  <c r="I128" i="1"/>
  <c r="H128" i="1"/>
  <c r="G128" i="1"/>
  <c r="F128" i="1"/>
  <c r="E128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 s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D126" i="1" s="1"/>
  <c r="E126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D125" i="1" s="1"/>
  <c r="O125" i="1"/>
  <c r="N125" i="1"/>
  <c r="M125" i="1"/>
  <c r="L125" i="1"/>
  <c r="K125" i="1"/>
  <c r="J125" i="1"/>
  <c r="I125" i="1"/>
  <c r="H125" i="1"/>
  <c r="G125" i="1"/>
  <c r="F125" i="1"/>
  <c r="E125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 s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D123" i="1" s="1"/>
  <c r="E123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D122" i="1" s="1"/>
  <c r="F122" i="1"/>
  <c r="E122" i="1"/>
  <c r="AB121" i="1"/>
  <c r="AB120" i="1" s="1"/>
  <c r="AA121" i="1"/>
  <c r="AA120" i="1" s="1"/>
  <c r="Z121" i="1"/>
  <c r="Z120" i="1" s="1"/>
  <c r="Y121" i="1"/>
  <c r="X121" i="1"/>
  <c r="X120" i="1" s="1"/>
  <c r="W121" i="1"/>
  <c r="W120" i="1" s="1"/>
  <c r="V121" i="1"/>
  <c r="U121" i="1"/>
  <c r="T121" i="1"/>
  <c r="S121" i="1"/>
  <c r="R121" i="1"/>
  <c r="Q121" i="1"/>
  <c r="P121" i="1"/>
  <c r="O121" i="1"/>
  <c r="O120" i="1" s="1"/>
  <c r="N121" i="1"/>
  <c r="N120" i="1" s="1"/>
  <c r="M121" i="1"/>
  <c r="L121" i="1"/>
  <c r="L120" i="1" s="1"/>
  <c r="K121" i="1"/>
  <c r="J121" i="1"/>
  <c r="I121" i="1"/>
  <c r="H121" i="1"/>
  <c r="G121" i="1"/>
  <c r="F121" i="1"/>
  <c r="E121" i="1"/>
  <c r="D121" i="1" s="1"/>
  <c r="FE120" i="1"/>
  <c r="FD120" i="1"/>
  <c r="FC120" i="1"/>
  <c r="FB120" i="1"/>
  <c r="FA120" i="1"/>
  <c r="EZ120" i="1"/>
  <c r="EY120" i="1"/>
  <c r="EX120" i="1"/>
  <c r="EW120" i="1"/>
  <c r="EV120" i="1"/>
  <c r="EU120" i="1"/>
  <c r="ET120" i="1"/>
  <c r="ES120" i="1"/>
  <c r="ER120" i="1"/>
  <c r="EQ120" i="1"/>
  <c r="EP120" i="1"/>
  <c r="EO120" i="1"/>
  <c r="EN120" i="1"/>
  <c r="EM120" i="1"/>
  <c r="EL120" i="1"/>
  <c r="EK120" i="1"/>
  <c r="EJ120" i="1"/>
  <c r="EI120" i="1"/>
  <c r="EH120" i="1"/>
  <c r="EG120" i="1"/>
  <c r="EF120" i="1"/>
  <c r="EE120" i="1"/>
  <c r="ED120" i="1"/>
  <c r="EC120" i="1"/>
  <c r="EB120" i="1"/>
  <c r="EA120" i="1"/>
  <c r="DZ120" i="1"/>
  <c r="DY120" i="1"/>
  <c r="DX120" i="1"/>
  <c r="DW120" i="1"/>
  <c r="DV120" i="1"/>
  <c r="DU120" i="1"/>
  <c r="DT120" i="1"/>
  <c r="DS120" i="1"/>
  <c r="DR120" i="1"/>
  <c r="DQ120" i="1"/>
  <c r="DP120" i="1"/>
  <c r="DO120" i="1"/>
  <c r="DN120" i="1"/>
  <c r="DM120" i="1"/>
  <c r="DL120" i="1"/>
  <c r="DK120" i="1"/>
  <c r="DJ120" i="1"/>
  <c r="DI120" i="1"/>
  <c r="DH120" i="1"/>
  <c r="DG120" i="1"/>
  <c r="DF120" i="1"/>
  <c r="DE120" i="1"/>
  <c r="DD120" i="1"/>
  <c r="DC120" i="1"/>
  <c r="DB120" i="1"/>
  <c r="DA120" i="1"/>
  <c r="CZ120" i="1"/>
  <c r="CY120" i="1"/>
  <c r="CX120" i="1"/>
  <c r="CW120" i="1"/>
  <c r="CV120" i="1"/>
  <c r="CU120" i="1"/>
  <c r="CT120" i="1"/>
  <c r="CS120" i="1"/>
  <c r="CR120" i="1"/>
  <c r="CQ120" i="1"/>
  <c r="CP120" i="1"/>
  <c r="CO120" i="1"/>
  <c r="CN120" i="1"/>
  <c r="CM120" i="1"/>
  <c r="CL120" i="1"/>
  <c r="CK120" i="1"/>
  <c r="CJ120" i="1"/>
  <c r="CI120" i="1"/>
  <c r="CH120" i="1"/>
  <c r="CG120" i="1"/>
  <c r="CF120" i="1"/>
  <c r="CE120" i="1"/>
  <c r="CD120" i="1"/>
  <c r="CC120" i="1"/>
  <c r="CB120" i="1"/>
  <c r="CA120" i="1"/>
  <c r="BZ120" i="1"/>
  <c r="BY120" i="1"/>
  <c r="BX120" i="1"/>
  <c r="BW120" i="1"/>
  <c r="BV120" i="1"/>
  <c r="BU120" i="1"/>
  <c r="BT120" i="1"/>
  <c r="BS120" i="1"/>
  <c r="BR120" i="1"/>
  <c r="BQ120" i="1"/>
  <c r="BP120" i="1"/>
  <c r="BO120" i="1"/>
  <c r="BN120" i="1"/>
  <c r="BM120" i="1"/>
  <c r="BL120" i="1"/>
  <c r="BK120" i="1"/>
  <c r="BJ120" i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AW120" i="1"/>
  <c r="AV120" i="1"/>
  <c r="AU120" i="1"/>
  <c r="AT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 s="1"/>
  <c r="C119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D118" i="1" s="1"/>
  <c r="L118" i="1"/>
  <c r="K118" i="1"/>
  <c r="J118" i="1"/>
  <c r="I118" i="1"/>
  <c r="H118" i="1"/>
  <c r="G118" i="1"/>
  <c r="F118" i="1"/>
  <c r="E118" i="1"/>
  <c r="C118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D117" i="1" s="1"/>
  <c r="E117" i="1"/>
  <c r="C117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 s="1"/>
  <c r="C116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D115" i="1" s="1"/>
  <c r="F115" i="1"/>
  <c r="E115" i="1"/>
  <c r="C115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 s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 s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 s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 s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D110" i="1" s="1"/>
  <c r="L110" i="1"/>
  <c r="K110" i="1"/>
  <c r="J110" i="1"/>
  <c r="I110" i="1"/>
  <c r="H110" i="1"/>
  <c r="G110" i="1"/>
  <c r="F110" i="1"/>
  <c r="E110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 s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D108" i="1" s="1"/>
  <c r="E108" i="1"/>
  <c r="AB107" i="1"/>
  <c r="D107" i="1" s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 s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D105" i="1" s="1"/>
  <c r="E105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D104" i="1" s="1"/>
  <c r="F104" i="1"/>
  <c r="E104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 s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 s="1"/>
  <c r="AB101" i="1"/>
  <c r="AA101" i="1"/>
  <c r="Z101" i="1"/>
  <c r="Y101" i="1"/>
  <c r="X101" i="1"/>
  <c r="W101" i="1"/>
  <c r="V101" i="1"/>
  <c r="V93" i="1" s="1"/>
  <c r="U101" i="1"/>
  <c r="T101" i="1"/>
  <c r="S101" i="1"/>
  <c r="R101" i="1"/>
  <c r="Q101" i="1"/>
  <c r="P101" i="1"/>
  <c r="O101" i="1"/>
  <c r="N101" i="1"/>
  <c r="M101" i="1"/>
  <c r="L101" i="1"/>
  <c r="K101" i="1"/>
  <c r="J101" i="1"/>
  <c r="J93" i="1" s="1"/>
  <c r="I101" i="1"/>
  <c r="H101" i="1"/>
  <c r="G101" i="1"/>
  <c r="F101" i="1"/>
  <c r="E101" i="1"/>
  <c r="D101" i="1" s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 s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 s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D98" i="1" s="1"/>
  <c r="L98" i="1"/>
  <c r="K98" i="1"/>
  <c r="J98" i="1"/>
  <c r="I98" i="1"/>
  <c r="H98" i="1"/>
  <c r="G98" i="1"/>
  <c r="F98" i="1"/>
  <c r="E98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 s="1"/>
  <c r="AB96" i="1"/>
  <c r="AA96" i="1"/>
  <c r="Z96" i="1"/>
  <c r="Y96" i="1"/>
  <c r="X96" i="1"/>
  <c r="W96" i="1"/>
  <c r="V96" i="1"/>
  <c r="U96" i="1"/>
  <c r="T96" i="1"/>
  <c r="S96" i="1"/>
  <c r="R96" i="1"/>
  <c r="R93" i="1" s="1"/>
  <c r="Q96" i="1"/>
  <c r="P96" i="1"/>
  <c r="O96" i="1"/>
  <c r="N96" i="1"/>
  <c r="M96" i="1"/>
  <c r="L96" i="1"/>
  <c r="K96" i="1"/>
  <c r="J96" i="1"/>
  <c r="I96" i="1"/>
  <c r="H96" i="1"/>
  <c r="G96" i="1"/>
  <c r="F96" i="1"/>
  <c r="D96" i="1" s="1"/>
  <c r="E96" i="1"/>
  <c r="AB95" i="1"/>
  <c r="AB93" i="1" s="1"/>
  <c r="AA95" i="1"/>
  <c r="Z95" i="1"/>
  <c r="Y95" i="1"/>
  <c r="X95" i="1"/>
  <c r="W95" i="1"/>
  <c r="V95" i="1"/>
  <c r="U95" i="1"/>
  <c r="T95" i="1"/>
  <c r="S95" i="1"/>
  <c r="R95" i="1"/>
  <c r="Q95" i="1"/>
  <c r="P95" i="1"/>
  <c r="P93" i="1" s="1"/>
  <c r="O95" i="1"/>
  <c r="N95" i="1"/>
  <c r="M95" i="1"/>
  <c r="L95" i="1"/>
  <c r="K95" i="1"/>
  <c r="J95" i="1"/>
  <c r="I95" i="1"/>
  <c r="H95" i="1"/>
  <c r="G95" i="1"/>
  <c r="F95" i="1"/>
  <c r="E95" i="1"/>
  <c r="AB94" i="1"/>
  <c r="AA94" i="1"/>
  <c r="AA93" i="1" s="1"/>
  <c r="Z94" i="1"/>
  <c r="Z93" i="1" s="1"/>
  <c r="Y94" i="1"/>
  <c r="Y93" i="1" s="1"/>
  <c r="X94" i="1"/>
  <c r="X93" i="1" s="1"/>
  <c r="W94" i="1"/>
  <c r="W93" i="1" s="1"/>
  <c r="V94" i="1"/>
  <c r="U94" i="1"/>
  <c r="U93" i="1" s="1"/>
  <c r="T94" i="1"/>
  <c r="T93" i="1" s="1"/>
  <c r="S94" i="1"/>
  <c r="R94" i="1"/>
  <c r="Q94" i="1"/>
  <c r="Q93" i="1" s="1"/>
  <c r="P94" i="1"/>
  <c r="O94" i="1"/>
  <c r="O93" i="1" s="1"/>
  <c r="N94" i="1"/>
  <c r="N93" i="1" s="1"/>
  <c r="M94" i="1"/>
  <c r="M93" i="1" s="1"/>
  <c r="L94" i="1"/>
  <c r="L93" i="1" s="1"/>
  <c r="K94" i="1"/>
  <c r="K93" i="1" s="1"/>
  <c r="J94" i="1"/>
  <c r="I94" i="1"/>
  <c r="I93" i="1" s="1"/>
  <c r="H94" i="1"/>
  <c r="H93" i="1" s="1"/>
  <c r="G94" i="1"/>
  <c r="F94" i="1"/>
  <c r="E94" i="1"/>
  <c r="D94" i="1" s="1"/>
  <c r="FE93" i="1"/>
  <c r="FD93" i="1"/>
  <c r="FC93" i="1"/>
  <c r="FB93" i="1"/>
  <c r="FA93" i="1"/>
  <c r="EZ93" i="1"/>
  <c r="EY93" i="1"/>
  <c r="EX93" i="1"/>
  <c r="EW93" i="1"/>
  <c r="EV93" i="1"/>
  <c r="EU93" i="1"/>
  <c r="ET93" i="1"/>
  <c r="ES93" i="1"/>
  <c r="ER93" i="1"/>
  <c r="EQ93" i="1"/>
  <c r="EP93" i="1"/>
  <c r="EO93" i="1"/>
  <c r="EN93" i="1"/>
  <c r="EM93" i="1"/>
  <c r="EL93" i="1"/>
  <c r="EK93" i="1"/>
  <c r="EJ93" i="1"/>
  <c r="EI93" i="1"/>
  <c r="EH93" i="1"/>
  <c r="EG93" i="1"/>
  <c r="EF93" i="1"/>
  <c r="EE93" i="1"/>
  <c r="ED93" i="1"/>
  <c r="EC93" i="1"/>
  <c r="EB93" i="1"/>
  <c r="EA93" i="1"/>
  <c r="DZ93" i="1"/>
  <c r="DY93" i="1"/>
  <c r="DX93" i="1"/>
  <c r="DW93" i="1"/>
  <c r="DV93" i="1"/>
  <c r="DU93" i="1"/>
  <c r="DT93" i="1"/>
  <c r="DS93" i="1"/>
  <c r="DR93" i="1"/>
  <c r="DQ93" i="1"/>
  <c r="DP93" i="1"/>
  <c r="DO93" i="1"/>
  <c r="DN93" i="1"/>
  <c r="DM93" i="1"/>
  <c r="DL93" i="1"/>
  <c r="DK93" i="1"/>
  <c r="DJ93" i="1"/>
  <c r="DI93" i="1"/>
  <c r="DH93" i="1"/>
  <c r="DG93" i="1"/>
  <c r="DF93" i="1"/>
  <c r="DE93" i="1"/>
  <c r="DD93" i="1"/>
  <c r="DC93" i="1"/>
  <c r="DB93" i="1"/>
  <c r="DA93" i="1"/>
  <c r="CZ93" i="1"/>
  <c r="CY93" i="1"/>
  <c r="CX93" i="1"/>
  <c r="CW93" i="1"/>
  <c r="CV93" i="1"/>
  <c r="CU93" i="1"/>
  <c r="CT93" i="1"/>
  <c r="CS93" i="1"/>
  <c r="CR93" i="1"/>
  <c r="CQ93" i="1"/>
  <c r="CP93" i="1"/>
  <c r="CO93" i="1"/>
  <c r="CN93" i="1"/>
  <c r="CM93" i="1"/>
  <c r="CL93" i="1"/>
  <c r="CK93" i="1"/>
  <c r="CJ93" i="1"/>
  <c r="CI93" i="1"/>
  <c r="CH93" i="1"/>
  <c r="CG93" i="1"/>
  <c r="CF93" i="1"/>
  <c r="CE93" i="1"/>
  <c r="CD93" i="1"/>
  <c r="CC93" i="1"/>
  <c r="CB93" i="1"/>
  <c r="CA93" i="1"/>
  <c r="BZ93" i="1"/>
  <c r="BY93" i="1"/>
  <c r="BX93" i="1"/>
  <c r="BW93" i="1"/>
  <c r="BV93" i="1"/>
  <c r="BU93" i="1"/>
  <c r="BT93" i="1"/>
  <c r="BS93" i="1"/>
  <c r="BR93" i="1"/>
  <c r="BQ93" i="1"/>
  <c r="BP93" i="1"/>
  <c r="BO93" i="1"/>
  <c r="BN93" i="1"/>
  <c r="BM93" i="1"/>
  <c r="BL93" i="1"/>
  <c r="BK93" i="1"/>
  <c r="BJ93" i="1"/>
  <c r="BI93" i="1"/>
  <c r="BH93" i="1"/>
  <c r="BG93" i="1"/>
  <c r="BF93" i="1"/>
  <c r="BE93" i="1"/>
  <c r="BD93" i="1"/>
  <c r="BC93" i="1"/>
  <c r="BB93" i="1"/>
  <c r="BA93" i="1"/>
  <c r="AZ93" i="1"/>
  <c r="AY93" i="1"/>
  <c r="AX93" i="1"/>
  <c r="AW93" i="1"/>
  <c r="AV93" i="1"/>
  <c r="AU93" i="1"/>
  <c r="AT93" i="1"/>
  <c r="AS93" i="1"/>
  <c r="AR93" i="1"/>
  <c r="AQ93" i="1"/>
  <c r="AP93" i="1"/>
  <c r="AO93" i="1"/>
  <c r="AN93" i="1"/>
  <c r="AM93" i="1"/>
  <c r="AL93" i="1"/>
  <c r="AK93" i="1"/>
  <c r="AJ93" i="1"/>
  <c r="AI93" i="1"/>
  <c r="AH93" i="1"/>
  <c r="AG93" i="1"/>
  <c r="AF93" i="1"/>
  <c r="AE93" i="1"/>
  <c r="AD93" i="1"/>
  <c r="AC93" i="1"/>
  <c r="S93" i="1"/>
  <c r="G93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 s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D88" i="1" s="1"/>
  <c r="E88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D87" i="1" s="1"/>
  <c r="L87" i="1"/>
  <c r="K87" i="1"/>
  <c r="J87" i="1"/>
  <c r="I87" i="1"/>
  <c r="H87" i="1"/>
  <c r="G87" i="1"/>
  <c r="F87" i="1"/>
  <c r="E87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 s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D85" i="1" s="1"/>
  <c r="E85" i="1"/>
  <c r="AB84" i="1"/>
  <c r="D84" i="1" s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 s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D82" i="1" s="1"/>
  <c r="E82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D81" i="1" s="1"/>
  <c r="F81" i="1"/>
  <c r="E81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 s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 s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D78" i="1" s="1"/>
  <c r="E78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 s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D76" i="1" s="1"/>
  <c r="E76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D75" i="1" s="1"/>
  <c r="L75" i="1"/>
  <c r="K75" i="1"/>
  <c r="J75" i="1"/>
  <c r="I75" i="1"/>
  <c r="H75" i="1"/>
  <c r="G75" i="1"/>
  <c r="F75" i="1"/>
  <c r="E75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 s="1"/>
  <c r="AB73" i="1"/>
  <c r="AA73" i="1"/>
  <c r="AA65" i="1" s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D73" i="1" s="1"/>
  <c r="E73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D72" i="1" s="1"/>
  <c r="O72" i="1"/>
  <c r="N72" i="1"/>
  <c r="M72" i="1"/>
  <c r="L72" i="1"/>
  <c r="K72" i="1"/>
  <c r="J72" i="1"/>
  <c r="I72" i="1"/>
  <c r="H72" i="1"/>
  <c r="G72" i="1"/>
  <c r="F72" i="1"/>
  <c r="E72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 s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AB68" i="1"/>
  <c r="AA68" i="1"/>
  <c r="Z68" i="1"/>
  <c r="Y68" i="1"/>
  <c r="X68" i="1"/>
  <c r="W68" i="1"/>
  <c r="W65" i="1" s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AB66" i="1"/>
  <c r="AB65" i="1" s="1"/>
  <c r="AA66" i="1"/>
  <c r="Z66" i="1"/>
  <c r="Z65" i="1" s="1"/>
  <c r="Y66" i="1"/>
  <c r="Y65" i="1" s="1"/>
  <c r="X66" i="1"/>
  <c r="W66" i="1"/>
  <c r="V66" i="1"/>
  <c r="V65" i="1" s="1"/>
  <c r="U66" i="1"/>
  <c r="T66" i="1"/>
  <c r="T65" i="1" s="1"/>
  <c r="S66" i="1"/>
  <c r="S65" i="1" s="1"/>
  <c r="R66" i="1"/>
  <c r="R65" i="1" s="1"/>
  <c r="Q66" i="1"/>
  <c r="P66" i="1"/>
  <c r="P65" i="1" s="1"/>
  <c r="O66" i="1"/>
  <c r="N66" i="1"/>
  <c r="N65" i="1" s="1"/>
  <c r="M66" i="1"/>
  <c r="M65" i="1" s="1"/>
  <c r="L66" i="1"/>
  <c r="L65" i="1" s="1"/>
  <c r="K66" i="1"/>
  <c r="J66" i="1"/>
  <c r="J65" i="1" s="1"/>
  <c r="I66" i="1"/>
  <c r="H66" i="1"/>
  <c r="H65" i="1" s="1"/>
  <c r="G66" i="1"/>
  <c r="G65" i="1" s="1"/>
  <c r="F66" i="1"/>
  <c r="E66" i="1"/>
  <c r="FE65" i="1"/>
  <c r="FD65" i="1"/>
  <c r="FC65" i="1"/>
  <c r="FB65" i="1"/>
  <c r="FA65" i="1"/>
  <c r="EZ65" i="1"/>
  <c r="EY65" i="1"/>
  <c r="EX65" i="1"/>
  <c r="EW65" i="1"/>
  <c r="EV65" i="1"/>
  <c r="EU65" i="1"/>
  <c r="ET65" i="1"/>
  <c r="ES65" i="1"/>
  <c r="ER65" i="1"/>
  <c r="EQ65" i="1"/>
  <c r="EP65" i="1"/>
  <c r="EO65" i="1"/>
  <c r="EN65" i="1"/>
  <c r="EM65" i="1"/>
  <c r="EL65" i="1"/>
  <c r="EK65" i="1"/>
  <c r="EJ65" i="1"/>
  <c r="EI65" i="1"/>
  <c r="EH65" i="1"/>
  <c r="EG65" i="1"/>
  <c r="EF65" i="1"/>
  <c r="EE65" i="1"/>
  <c r="ED65" i="1"/>
  <c r="EC65" i="1"/>
  <c r="EB65" i="1"/>
  <c r="EA65" i="1"/>
  <c r="DZ65" i="1"/>
  <c r="DY65" i="1"/>
  <c r="DX65" i="1"/>
  <c r="DW65" i="1"/>
  <c r="DV65" i="1"/>
  <c r="DU65" i="1"/>
  <c r="DT65" i="1"/>
  <c r="DS65" i="1"/>
  <c r="DR65" i="1"/>
  <c r="DQ65" i="1"/>
  <c r="DP65" i="1"/>
  <c r="DO65" i="1"/>
  <c r="DN65" i="1"/>
  <c r="DM65" i="1"/>
  <c r="DL65" i="1"/>
  <c r="DK65" i="1"/>
  <c r="DJ65" i="1"/>
  <c r="DI65" i="1"/>
  <c r="DH65" i="1"/>
  <c r="DG65" i="1"/>
  <c r="DF65" i="1"/>
  <c r="DE65" i="1"/>
  <c r="DD65" i="1"/>
  <c r="DC65" i="1"/>
  <c r="DB65" i="1"/>
  <c r="DA65" i="1"/>
  <c r="CZ65" i="1"/>
  <c r="CY65" i="1"/>
  <c r="CX65" i="1"/>
  <c r="CW65" i="1"/>
  <c r="CV65" i="1"/>
  <c r="CU65" i="1"/>
  <c r="CT65" i="1"/>
  <c r="CS65" i="1"/>
  <c r="CR65" i="1"/>
  <c r="CQ65" i="1"/>
  <c r="CP65" i="1"/>
  <c r="CO65" i="1"/>
  <c r="CN65" i="1"/>
  <c r="CM65" i="1"/>
  <c r="CL65" i="1"/>
  <c r="CK65" i="1"/>
  <c r="CJ65" i="1"/>
  <c r="CI65" i="1"/>
  <c r="CH65" i="1"/>
  <c r="CG65" i="1"/>
  <c r="CF65" i="1"/>
  <c r="CE65" i="1"/>
  <c r="CD65" i="1"/>
  <c r="CC65" i="1"/>
  <c r="CB65" i="1"/>
  <c r="CA65" i="1"/>
  <c r="BZ65" i="1"/>
  <c r="BY65" i="1"/>
  <c r="BX65" i="1"/>
  <c r="BW65" i="1"/>
  <c r="BV65" i="1"/>
  <c r="BU65" i="1"/>
  <c r="BT65" i="1"/>
  <c r="BS65" i="1"/>
  <c r="BR65" i="1"/>
  <c r="BQ65" i="1"/>
  <c r="BP65" i="1"/>
  <c r="BO65" i="1"/>
  <c r="BN65" i="1"/>
  <c r="BM65" i="1"/>
  <c r="BL65" i="1"/>
  <c r="BK65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X65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C64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N57" i="1" s="1"/>
  <c r="M63" i="1"/>
  <c r="L63" i="1"/>
  <c r="K63" i="1"/>
  <c r="J63" i="1"/>
  <c r="I63" i="1"/>
  <c r="H63" i="1"/>
  <c r="G63" i="1"/>
  <c r="F63" i="1"/>
  <c r="E63" i="1"/>
  <c r="C63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 s="1"/>
  <c r="AB60" i="1"/>
  <c r="AA60" i="1"/>
  <c r="Z60" i="1"/>
  <c r="Y60" i="1"/>
  <c r="X60" i="1"/>
  <c r="W60" i="1"/>
  <c r="V60" i="1"/>
  <c r="V57" i="1" s="1"/>
  <c r="U60" i="1"/>
  <c r="T60" i="1"/>
  <c r="S60" i="1"/>
  <c r="R60" i="1"/>
  <c r="Q60" i="1"/>
  <c r="P60" i="1"/>
  <c r="O60" i="1"/>
  <c r="N60" i="1"/>
  <c r="M60" i="1"/>
  <c r="L60" i="1"/>
  <c r="K60" i="1"/>
  <c r="J60" i="1"/>
  <c r="J57" i="1" s="1"/>
  <c r="I60" i="1"/>
  <c r="H60" i="1"/>
  <c r="G60" i="1"/>
  <c r="D60" i="1" s="1"/>
  <c r="F60" i="1"/>
  <c r="E60" i="1"/>
  <c r="AB59" i="1"/>
  <c r="AB57" i="1" s="1"/>
  <c r="AA59" i="1"/>
  <c r="Z59" i="1"/>
  <c r="Y59" i="1"/>
  <c r="X59" i="1"/>
  <c r="W59" i="1"/>
  <c r="V59" i="1"/>
  <c r="U59" i="1"/>
  <c r="T59" i="1"/>
  <c r="T57" i="1" s="1"/>
  <c r="S59" i="1"/>
  <c r="R59" i="1"/>
  <c r="Q59" i="1"/>
  <c r="P59" i="1"/>
  <c r="P57" i="1" s="1"/>
  <c r="O59" i="1"/>
  <c r="N59" i="1"/>
  <c r="M59" i="1"/>
  <c r="L59" i="1"/>
  <c r="K59" i="1"/>
  <c r="J59" i="1"/>
  <c r="I59" i="1"/>
  <c r="H59" i="1"/>
  <c r="H57" i="1" s="1"/>
  <c r="G59" i="1"/>
  <c r="F59" i="1"/>
  <c r="E59" i="1"/>
  <c r="D59" i="1" s="1"/>
  <c r="AB58" i="1"/>
  <c r="AA58" i="1"/>
  <c r="AA57" i="1" s="1"/>
  <c r="Z58" i="1"/>
  <c r="Y58" i="1"/>
  <c r="Y57" i="1" s="1"/>
  <c r="X58" i="1"/>
  <c r="X57" i="1" s="1"/>
  <c r="W58" i="1"/>
  <c r="V58" i="1"/>
  <c r="U58" i="1"/>
  <c r="U57" i="1" s="1"/>
  <c r="T58" i="1"/>
  <c r="S58" i="1"/>
  <c r="S57" i="1" s="1"/>
  <c r="R58" i="1"/>
  <c r="R57" i="1" s="1"/>
  <c r="Q58" i="1"/>
  <c r="Q57" i="1" s="1"/>
  <c r="P58" i="1"/>
  <c r="O58" i="1"/>
  <c r="N58" i="1"/>
  <c r="M58" i="1"/>
  <c r="L58" i="1"/>
  <c r="L57" i="1" s="1"/>
  <c r="K58" i="1"/>
  <c r="J58" i="1"/>
  <c r="I58" i="1"/>
  <c r="I57" i="1" s="1"/>
  <c r="H58" i="1"/>
  <c r="G58" i="1"/>
  <c r="G57" i="1" s="1"/>
  <c r="F58" i="1"/>
  <c r="F57" i="1" s="1"/>
  <c r="E58" i="1"/>
  <c r="D58" i="1" s="1"/>
  <c r="FE57" i="1"/>
  <c r="FD57" i="1"/>
  <c r="FC57" i="1"/>
  <c r="FB57" i="1"/>
  <c r="FA57" i="1"/>
  <c r="EZ57" i="1"/>
  <c r="EY57" i="1"/>
  <c r="EX57" i="1"/>
  <c r="EW57" i="1"/>
  <c r="EV57" i="1"/>
  <c r="EU57" i="1"/>
  <c r="ET57" i="1"/>
  <c r="ES57" i="1"/>
  <c r="ER57" i="1"/>
  <c r="EQ57" i="1"/>
  <c r="EP57" i="1"/>
  <c r="EO57" i="1"/>
  <c r="EN57" i="1"/>
  <c r="EM57" i="1"/>
  <c r="EL57" i="1"/>
  <c r="EK57" i="1"/>
  <c r="EJ57" i="1"/>
  <c r="EI57" i="1"/>
  <c r="EH57" i="1"/>
  <c r="EG57" i="1"/>
  <c r="EF57" i="1"/>
  <c r="EE57" i="1"/>
  <c r="ED57" i="1"/>
  <c r="EC57" i="1"/>
  <c r="EB57" i="1"/>
  <c r="EA57" i="1"/>
  <c r="DZ57" i="1"/>
  <c r="DY57" i="1"/>
  <c r="DX57" i="1"/>
  <c r="DW57" i="1"/>
  <c r="DV57" i="1"/>
  <c r="DU57" i="1"/>
  <c r="DT57" i="1"/>
  <c r="DS57" i="1"/>
  <c r="DR57" i="1"/>
  <c r="DQ57" i="1"/>
  <c r="DP57" i="1"/>
  <c r="DO57" i="1"/>
  <c r="DN57" i="1"/>
  <c r="DM57" i="1"/>
  <c r="DL57" i="1"/>
  <c r="DK57" i="1"/>
  <c r="DJ57" i="1"/>
  <c r="DI57" i="1"/>
  <c r="DH57" i="1"/>
  <c r="DG57" i="1"/>
  <c r="DF57" i="1"/>
  <c r="DE57" i="1"/>
  <c r="DD57" i="1"/>
  <c r="DC57" i="1"/>
  <c r="DB57" i="1"/>
  <c r="DA57" i="1"/>
  <c r="CZ57" i="1"/>
  <c r="CY57" i="1"/>
  <c r="CX57" i="1"/>
  <c r="CW57" i="1"/>
  <c r="CV57" i="1"/>
  <c r="CU57" i="1"/>
  <c r="CT57" i="1"/>
  <c r="CS57" i="1"/>
  <c r="CR57" i="1"/>
  <c r="CQ57" i="1"/>
  <c r="CP57" i="1"/>
  <c r="CO57" i="1"/>
  <c r="CN57" i="1"/>
  <c r="CM57" i="1"/>
  <c r="CL57" i="1"/>
  <c r="CK57" i="1"/>
  <c r="CJ57" i="1"/>
  <c r="CI57" i="1"/>
  <c r="CH57" i="1"/>
  <c r="CG57" i="1"/>
  <c r="CF57" i="1"/>
  <c r="CE57" i="1"/>
  <c r="CD57" i="1"/>
  <c r="CC57" i="1"/>
  <c r="CB57" i="1"/>
  <c r="CA57" i="1"/>
  <c r="BZ57" i="1"/>
  <c r="BY57" i="1"/>
  <c r="BX57" i="1"/>
  <c r="BW57" i="1"/>
  <c r="BV57" i="1"/>
  <c r="BU57" i="1"/>
  <c r="BT57" i="1"/>
  <c r="BS57" i="1"/>
  <c r="BR57" i="1"/>
  <c r="BQ57" i="1"/>
  <c r="BP57" i="1"/>
  <c r="BO57" i="1"/>
  <c r="BN57" i="1"/>
  <c r="BM57" i="1"/>
  <c r="BL57" i="1"/>
  <c r="BK57" i="1"/>
  <c r="BJ57" i="1"/>
  <c r="BI57" i="1"/>
  <c r="BH57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Z57" i="1"/>
  <c r="W57" i="1"/>
  <c r="K57" i="1"/>
  <c r="AB56" i="1"/>
  <c r="AA56" i="1"/>
  <c r="AA53" i="1" s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C56" i="1"/>
  <c r="AB55" i="1"/>
  <c r="AA55" i="1"/>
  <c r="Z55" i="1"/>
  <c r="Y55" i="1"/>
  <c r="X55" i="1"/>
  <c r="W55" i="1"/>
  <c r="W53" i="1" s="1"/>
  <c r="V55" i="1"/>
  <c r="U55" i="1"/>
  <c r="U53" i="1" s="1"/>
  <c r="T55" i="1"/>
  <c r="S55" i="1"/>
  <c r="R55" i="1"/>
  <c r="Q55" i="1"/>
  <c r="Q53" i="1" s="1"/>
  <c r="P55" i="1"/>
  <c r="O55" i="1"/>
  <c r="N55" i="1"/>
  <c r="M55" i="1"/>
  <c r="L55" i="1"/>
  <c r="K55" i="1"/>
  <c r="J55" i="1"/>
  <c r="I55" i="1"/>
  <c r="H55" i="1"/>
  <c r="G55" i="1"/>
  <c r="F55" i="1"/>
  <c r="E55" i="1"/>
  <c r="C55" i="1"/>
  <c r="AB54" i="1"/>
  <c r="AA54" i="1"/>
  <c r="Z54" i="1"/>
  <c r="Z53" i="1" s="1"/>
  <c r="Y54" i="1"/>
  <c r="Y53" i="1" s="1"/>
  <c r="X54" i="1"/>
  <c r="X53" i="1" s="1"/>
  <c r="W54" i="1"/>
  <c r="V54" i="1"/>
  <c r="U54" i="1"/>
  <c r="T54" i="1"/>
  <c r="S54" i="1"/>
  <c r="S53" i="1" s="1"/>
  <c r="R54" i="1"/>
  <c r="R53" i="1" s="1"/>
  <c r="Q54" i="1"/>
  <c r="P54" i="1"/>
  <c r="O54" i="1"/>
  <c r="N54" i="1"/>
  <c r="N53" i="1" s="1"/>
  <c r="M54" i="1"/>
  <c r="M53" i="1" s="1"/>
  <c r="L54" i="1"/>
  <c r="K54" i="1"/>
  <c r="J54" i="1"/>
  <c r="I54" i="1"/>
  <c r="H54" i="1"/>
  <c r="G54" i="1"/>
  <c r="G53" i="1" s="1"/>
  <c r="F54" i="1"/>
  <c r="E54" i="1"/>
  <c r="FE53" i="1"/>
  <c r="FD53" i="1"/>
  <c r="FC53" i="1"/>
  <c r="FB53" i="1"/>
  <c r="FA53" i="1"/>
  <c r="EZ53" i="1"/>
  <c r="EY53" i="1"/>
  <c r="EX53" i="1"/>
  <c r="EW53" i="1"/>
  <c r="EV53" i="1"/>
  <c r="EU53" i="1"/>
  <c r="ET53" i="1"/>
  <c r="ES53" i="1"/>
  <c r="ER53" i="1"/>
  <c r="EQ53" i="1"/>
  <c r="EP53" i="1"/>
  <c r="EO53" i="1"/>
  <c r="EN53" i="1"/>
  <c r="EM53" i="1"/>
  <c r="EL53" i="1"/>
  <c r="EK53" i="1"/>
  <c r="EJ53" i="1"/>
  <c r="EI53" i="1"/>
  <c r="EH53" i="1"/>
  <c r="EG53" i="1"/>
  <c r="EF53" i="1"/>
  <c r="EE53" i="1"/>
  <c r="ED53" i="1"/>
  <c r="EC53" i="1"/>
  <c r="EB53" i="1"/>
  <c r="EA53" i="1"/>
  <c r="DZ53" i="1"/>
  <c r="DY53" i="1"/>
  <c r="DX53" i="1"/>
  <c r="DW53" i="1"/>
  <c r="DV53" i="1"/>
  <c r="DU53" i="1"/>
  <c r="DT53" i="1"/>
  <c r="DS53" i="1"/>
  <c r="DR53" i="1"/>
  <c r="DQ53" i="1"/>
  <c r="DP53" i="1"/>
  <c r="DO53" i="1"/>
  <c r="DN53" i="1"/>
  <c r="DM53" i="1"/>
  <c r="DL53" i="1"/>
  <c r="DK53" i="1"/>
  <c r="DJ53" i="1"/>
  <c r="DI53" i="1"/>
  <c r="DH53" i="1"/>
  <c r="DG53" i="1"/>
  <c r="DF53" i="1"/>
  <c r="DE53" i="1"/>
  <c r="DD53" i="1"/>
  <c r="DC53" i="1"/>
  <c r="DB53" i="1"/>
  <c r="DA53" i="1"/>
  <c r="CZ53" i="1"/>
  <c r="CY53" i="1"/>
  <c r="CX53" i="1"/>
  <c r="CW53" i="1"/>
  <c r="CV53" i="1"/>
  <c r="CU53" i="1"/>
  <c r="CT53" i="1"/>
  <c r="CS53" i="1"/>
  <c r="CR53" i="1"/>
  <c r="CQ53" i="1"/>
  <c r="CP53" i="1"/>
  <c r="CO53" i="1"/>
  <c r="CN53" i="1"/>
  <c r="CM53" i="1"/>
  <c r="CL53" i="1"/>
  <c r="CK53" i="1"/>
  <c r="CJ53" i="1"/>
  <c r="CI53" i="1"/>
  <c r="CH53" i="1"/>
  <c r="CG53" i="1"/>
  <c r="CF53" i="1"/>
  <c r="CE53" i="1"/>
  <c r="CD53" i="1"/>
  <c r="CC53" i="1"/>
  <c r="CB53" i="1"/>
  <c r="CA53" i="1"/>
  <c r="BZ53" i="1"/>
  <c r="BY53" i="1"/>
  <c r="BX53" i="1"/>
  <c r="BW53" i="1"/>
  <c r="BV53" i="1"/>
  <c r="BU53" i="1"/>
  <c r="BT53" i="1"/>
  <c r="BS53" i="1"/>
  <c r="BR53" i="1"/>
  <c r="BQ53" i="1"/>
  <c r="BP53" i="1"/>
  <c r="BO53" i="1"/>
  <c r="BN53" i="1"/>
  <c r="BM53" i="1"/>
  <c r="BL53" i="1"/>
  <c r="BK53" i="1"/>
  <c r="BJ53" i="1"/>
  <c r="BI53" i="1"/>
  <c r="BH53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I53" i="1"/>
  <c r="F53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O49" i="1" s="1"/>
  <c r="N52" i="1"/>
  <c r="M52" i="1"/>
  <c r="L52" i="1"/>
  <c r="K52" i="1"/>
  <c r="J52" i="1"/>
  <c r="I52" i="1"/>
  <c r="H52" i="1"/>
  <c r="G52" i="1"/>
  <c r="F52" i="1"/>
  <c r="E52" i="1"/>
  <c r="C52" i="1"/>
  <c r="AB51" i="1"/>
  <c r="AA51" i="1"/>
  <c r="Z51" i="1"/>
  <c r="Y51" i="1"/>
  <c r="X51" i="1"/>
  <c r="W51" i="1"/>
  <c r="V51" i="1"/>
  <c r="U51" i="1"/>
  <c r="U49" i="1" s="1"/>
  <c r="T51" i="1"/>
  <c r="T49" i="1" s="1"/>
  <c r="S51" i="1"/>
  <c r="R51" i="1"/>
  <c r="Q51" i="1"/>
  <c r="Q49" i="1" s="1"/>
  <c r="P51" i="1"/>
  <c r="O51" i="1"/>
  <c r="N51" i="1"/>
  <c r="M51" i="1"/>
  <c r="L51" i="1"/>
  <c r="K51" i="1"/>
  <c r="J51" i="1"/>
  <c r="I51" i="1"/>
  <c r="I49" i="1" s="1"/>
  <c r="H51" i="1"/>
  <c r="H49" i="1" s="1"/>
  <c r="G51" i="1"/>
  <c r="F51" i="1"/>
  <c r="E51" i="1"/>
  <c r="E49" i="1" s="1"/>
  <c r="AB50" i="1"/>
  <c r="AB49" i="1" s="1"/>
  <c r="AA50" i="1"/>
  <c r="Z50" i="1"/>
  <c r="Z49" i="1" s="1"/>
  <c r="Y50" i="1"/>
  <c r="Y49" i="1" s="1"/>
  <c r="X50" i="1"/>
  <c r="W50" i="1"/>
  <c r="V50" i="1"/>
  <c r="V49" i="1" s="1"/>
  <c r="U50" i="1"/>
  <c r="T50" i="1"/>
  <c r="S50" i="1"/>
  <c r="S49" i="1" s="1"/>
  <c r="R50" i="1"/>
  <c r="R49" i="1" s="1"/>
  <c r="Q50" i="1"/>
  <c r="P50" i="1"/>
  <c r="P49" i="1" s="1"/>
  <c r="O50" i="1"/>
  <c r="N50" i="1"/>
  <c r="N49" i="1" s="1"/>
  <c r="M50" i="1"/>
  <c r="M49" i="1" s="1"/>
  <c r="L50" i="1"/>
  <c r="K50" i="1"/>
  <c r="J50" i="1"/>
  <c r="J49" i="1" s="1"/>
  <c r="I50" i="1"/>
  <c r="H50" i="1"/>
  <c r="G50" i="1"/>
  <c r="G49" i="1" s="1"/>
  <c r="F50" i="1"/>
  <c r="D50" i="1" s="1"/>
  <c r="E50" i="1"/>
  <c r="FE49" i="1"/>
  <c r="FD49" i="1"/>
  <c r="FC49" i="1"/>
  <c r="FB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O49" i="1"/>
  <c r="EN49" i="1"/>
  <c r="EM49" i="1"/>
  <c r="EL49" i="1"/>
  <c r="EK49" i="1"/>
  <c r="EJ49" i="1"/>
  <c r="EI49" i="1"/>
  <c r="EH49" i="1"/>
  <c r="EG49" i="1"/>
  <c r="EF49" i="1"/>
  <c r="EE49" i="1"/>
  <c r="ED49" i="1"/>
  <c r="EC49" i="1"/>
  <c r="EB49" i="1"/>
  <c r="EA49" i="1"/>
  <c r="DZ49" i="1"/>
  <c r="DY49" i="1"/>
  <c r="DX49" i="1"/>
  <c r="DW49" i="1"/>
  <c r="DV49" i="1"/>
  <c r="DU49" i="1"/>
  <c r="DT49" i="1"/>
  <c r="DS49" i="1"/>
  <c r="DR49" i="1"/>
  <c r="DQ49" i="1"/>
  <c r="DP49" i="1"/>
  <c r="DO49" i="1"/>
  <c r="DN49" i="1"/>
  <c r="DM49" i="1"/>
  <c r="DL49" i="1"/>
  <c r="DK49" i="1"/>
  <c r="DJ49" i="1"/>
  <c r="DI49" i="1"/>
  <c r="DH49" i="1"/>
  <c r="DG49" i="1"/>
  <c r="DF49" i="1"/>
  <c r="DE49" i="1"/>
  <c r="DD49" i="1"/>
  <c r="DC49" i="1"/>
  <c r="DB49" i="1"/>
  <c r="DA49" i="1"/>
  <c r="CZ49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A49" i="1"/>
  <c r="X49" i="1"/>
  <c r="W49" i="1"/>
  <c r="L49" i="1"/>
  <c r="K49" i="1"/>
  <c r="AB48" i="1"/>
  <c r="AA48" i="1"/>
  <c r="Z48" i="1"/>
  <c r="Z45" i="1" s="1"/>
  <c r="Y48" i="1"/>
  <c r="X48" i="1"/>
  <c r="W48" i="1"/>
  <c r="W45" i="1" s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C48" i="1"/>
  <c r="AB47" i="1" a="1"/>
  <c r="AB47" i="1" s="1"/>
  <c r="Y47" i="1"/>
  <c r="Y47" i="1" a="1"/>
  <c r="X47" i="1"/>
  <c r="X47" i="1" a="1"/>
  <c r="V47" i="1"/>
  <c r="U47" i="1"/>
  <c r="T47" i="1"/>
  <c r="S47" i="1"/>
  <c r="R47" i="1"/>
  <c r="Q47" i="1"/>
  <c r="Q45" i="1" s="1"/>
  <c r="P47" i="1"/>
  <c r="O47" i="1"/>
  <c r="N47" i="1"/>
  <c r="N45" i="1" s="1"/>
  <c r="M47" i="1"/>
  <c r="L47" i="1"/>
  <c r="K47" i="1"/>
  <c r="K45" i="1" s="1"/>
  <c r="J47" i="1"/>
  <c r="I47" i="1"/>
  <c r="H47" i="1"/>
  <c r="G47" i="1"/>
  <c r="F47" i="1"/>
  <c r="E47" i="1"/>
  <c r="E45" i="1" s="1"/>
  <c r="AB46" i="1"/>
  <c r="AB45" i="1" s="1"/>
  <c r="AA46" i="1"/>
  <c r="AA45" i="1" s="1"/>
  <c r="Z46" i="1"/>
  <c r="Y46" i="1"/>
  <c r="Y45" i="1" s="1"/>
  <c r="X46" i="1"/>
  <c r="X45" i="1" s="1"/>
  <c r="W46" i="1"/>
  <c r="V46" i="1"/>
  <c r="V45" i="1" s="1"/>
  <c r="U46" i="1"/>
  <c r="T46" i="1"/>
  <c r="T45" i="1" s="1"/>
  <c r="S46" i="1"/>
  <c r="S45" i="1" s="1"/>
  <c r="R46" i="1"/>
  <c r="Q46" i="1"/>
  <c r="P46" i="1"/>
  <c r="P45" i="1" s="1"/>
  <c r="O46" i="1"/>
  <c r="N46" i="1"/>
  <c r="M46" i="1"/>
  <c r="M45" i="1" s="1"/>
  <c r="L46" i="1"/>
  <c r="L45" i="1" s="1"/>
  <c r="K46" i="1"/>
  <c r="J46" i="1"/>
  <c r="J45" i="1" s="1"/>
  <c r="I46" i="1"/>
  <c r="H46" i="1"/>
  <c r="H45" i="1" s="1"/>
  <c r="G46" i="1"/>
  <c r="G45" i="1" s="1"/>
  <c r="F46" i="1"/>
  <c r="E46" i="1"/>
  <c r="FE45" i="1"/>
  <c r="FD45" i="1"/>
  <c r="FC45" i="1"/>
  <c r="FB45" i="1"/>
  <c r="FA45" i="1"/>
  <c r="EZ45" i="1"/>
  <c r="EY45" i="1"/>
  <c r="EX45" i="1"/>
  <c r="EW45" i="1"/>
  <c r="EV45" i="1"/>
  <c r="EU45" i="1"/>
  <c r="ET45" i="1"/>
  <c r="ES45" i="1"/>
  <c r="ER45" i="1"/>
  <c r="EQ45" i="1"/>
  <c r="EP45" i="1"/>
  <c r="EO45" i="1"/>
  <c r="EN45" i="1"/>
  <c r="EM45" i="1"/>
  <c r="EL45" i="1"/>
  <c r="EK45" i="1"/>
  <c r="EJ45" i="1"/>
  <c r="EI45" i="1"/>
  <c r="EH45" i="1"/>
  <c r="EG45" i="1"/>
  <c r="EF45" i="1"/>
  <c r="EE45" i="1"/>
  <c r="ED45" i="1"/>
  <c r="EC45" i="1"/>
  <c r="EB45" i="1"/>
  <c r="EA45" i="1"/>
  <c r="DZ45" i="1"/>
  <c r="DY45" i="1"/>
  <c r="DX45" i="1"/>
  <c r="DW45" i="1"/>
  <c r="DV45" i="1"/>
  <c r="DU45" i="1"/>
  <c r="DT45" i="1"/>
  <c r="DS45" i="1"/>
  <c r="DR45" i="1"/>
  <c r="DQ45" i="1"/>
  <c r="DP45" i="1"/>
  <c r="DO45" i="1"/>
  <c r="DN45" i="1"/>
  <c r="DM45" i="1"/>
  <c r="DL45" i="1"/>
  <c r="DK45" i="1"/>
  <c r="DJ45" i="1"/>
  <c r="DI45" i="1"/>
  <c r="DH45" i="1"/>
  <c r="DG45" i="1"/>
  <c r="DF45" i="1"/>
  <c r="DE45" i="1"/>
  <c r="DD45" i="1"/>
  <c r="DC45" i="1"/>
  <c r="DB45" i="1"/>
  <c r="DA45" i="1"/>
  <c r="CZ45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U45" i="1"/>
  <c r="R45" i="1"/>
  <c r="I45" i="1"/>
  <c r="F45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C44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C43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C42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C41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 s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D33" i="1" s="1"/>
  <c r="F33" i="1"/>
  <c r="E33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AB31" i="1"/>
  <c r="AA31" i="1"/>
  <c r="Z31" i="1"/>
  <c r="Y31" i="1"/>
  <c r="X31" i="1"/>
  <c r="X25" i="1" s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D31" i="1" s="1"/>
  <c r="E31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AB29" i="1"/>
  <c r="AA29" i="1"/>
  <c r="Z29" i="1"/>
  <c r="Z29" i="1" a="1"/>
  <c r="Y29" i="1"/>
  <c r="X29" i="1"/>
  <c r="W29" i="1"/>
  <c r="W29" i="1" a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AB28" i="1"/>
  <c r="AA28" i="1"/>
  <c r="Z28" i="1"/>
  <c r="Z25" i="1" s="1"/>
  <c r="Y28" i="1"/>
  <c r="X28" i="1"/>
  <c r="W28" i="1"/>
  <c r="V28" i="1"/>
  <c r="U28" i="1"/>
  <c r="T28" i="1"/>
  <c r="S28" i="1"/>
  <c r="R28" i="1"/>
  <c r="Q28" i="1"/>
  <c r="P28" i="1"/>
  <c r="O28" i="1"/>
  <c r="N28" i="1"/>
  <c r="N25" i="1" s="1"/>
  <c r="M28" i="1"/>
  <c r="L28" i="1"/>
  <c r="K28" i="1"/>
  <c r="J28" i="1"/>
  <c r="I28" i="1"/>
  <c r="H28" i="1"/>
  <c r="G28" i="1"/>
  <c r="F28" i="1"/>
  <c r="E28" i="1"/>
  <c r="D28" i="1" s="1"/>
  <c r="AB27" i="1"/>
  <c r="AA27" i="1"/>
  <c r="AA25" i="1" s="1"/>
  <c r="Z27" i="1"/>
  <c r="Y27" i="1"/>
  <c r="X27" i="1"/>
  <c r="W27" i="1"/>
  <c r="V27" i="1"/>
  <c r="U27" i="1"/>
  <c r="T27" i="1"/>
  <c r="S27" i="1"/>
  <c r="R27" i="1"/>
  <c r="Q27" i="1"/>
  <c r="Q25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 s="1"/>
  <c r="AB26" i="1"/>
  <c r="AB25" i="1" s="1"/>
  <c r="AA26" i="1"/>
  <c r="Z26" i="1"/>
  <c r="Y26" i="1"/>
  <c r="Y25" i="1" s="1"/>
  <c r="X26" i="1"/>
  <c r="W26" i="1"/>
  <c r="W25" i="1" s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D26" i="1" s="1"/>
  <c r="E26" i="1"/>
  <c r="FE25" i="1"/>
  <c r="FD25" i="1"/>
  <c r="FC25" i="1"/>
  <c r="FB25" i="1"/>
  <c r="FA25" i="1"/>
  <c r="EZ25" i="1"/>
  <c r="EY25" i="1"/>
  <c r="EX25" i="1"/>
  <c r="EW25" i="1"/>
  <c r="EV25" i="1"/>
  <c r="EU25" i="1"/>
  <c r="ET25" i="1"/>
  <c r="ES25" i="1"/>
  <c r="ER25" i="1"/>
  <c r="EQ25" i="1"/>
  <c r="EP25" i="1"/>
  <c r="EO25" i="1"/>
  <c r="EN25" i="1"/>
  <c r="EM25" i="1"/>
  <c r="EL25" i="1"/>
  <c r="EK25" i="1"/>
  <c r="EJ25" i="1"/>
  <c r="EI25" i="1"/>
  <c r="EH25" i="1"/>
  <c r="EG25" i="1"/>
  <c r="EF25" i="1"/>
  <c r="EE25" i="1"/>
  <c r="ED25" i="1"/>
  <c r="EC25" i="1"/>
  <c r="EB25" i="1"/>
  <c r="EA25" i="1"/>
  <c r="DZ25" i="1"/>
  <c r="DY25" i="1"/>
  <c r="DX25" i="1"/>
  <c r="DW25" i="1"/>
  <c r="DV25" i="1"/>
  <c r="DU25" i="1"/>
  <c r="DT25" i="1"/>
  <c r="DS25" i="1"/>
  <c r="DR25" i="1"/>
  <c r="DQ25" i="1"/>
  <c r="DP25" i="1"/>
  <c r="DO25" i="1"/>
  <c r="DN25" i="1"/>
  <c r="DM25" i="1"/>
  <c r="DL25" i="1"/>
  <c r="DK25" i="1"/>
  <c r="DJ25" i="1"/>
  <c r="DI25" i="1"/>
  <c r="DH25" i="1"/>
  <c r="DG25" i="1"/>
  <c r="DF25" i="1"/>
  <c r="DE25" i="1"/>
  <c r="DD25" i="1"/>
  <c r="DC25" i="1"/>
  <c r="DB25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C24" i="1"/>
  <c r="AB23" i="1"/>
  <c r="AA23" i="1"/>
  <c r="Z23" i="1" a="1"/>
  <c r="Z23" i="1" s="1"/>
  <c r="Y23" i="1"/>
  <c r="X23" i="1"/>
  <c r="W23" i="1" a="1"/>
  <c r="W23" i="1" s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AB22" i="1"/>
  <c r="AA22" i="1"/>
  <c r="Z22" i="1"/>
  <c r="Z22" i="1" a="1"/>
  <c r="Y22" i="1"/>
  <c r="X22" i="1"/>
  <c r="W22" i="1" a="1"/>
  <c r="W22" i="1" s="1"/>
  <c r="V22" i="1"/>
  <c r="U22" i="1"/>
  <c r="T22" i="1"/>
  <c r="S22" i="1"/>
  <c r="R22" i="1"/>
  <c r="Q22" i="1"/>
  <c r="Q18" i="1" s="1"/>
  <c r="P22" i="1"/>
  <c r="O22" i="1"/>
  <c r="N22" i="1"/>
  <c r="M22" i="1"/>
  <c r="L22" i="1"/>
  <c r="K22" i="1"/>
  <c r="J22" i="1"/>
  <c r="I22" i="1"/>
  <c r="H22" i="1"/>
  <c r="G22" i="1"/>
  <c r="F22" i="1"/>
  <c r="E22" i="1"/>
  <c r="E18" i="1" s="1"/>
  <c r="AB21" i="1"/>
  <c r="AA21" i="1"/>
  <c r="Z21" i="1"/>
  <c r="Z21" i="1" a="1"/>
  <c r="Y21" i="1"/>
  <c r="X21" i="1"/>
  <c r="W21" i="1" a="1"/>
  <c r="W21" i="1" s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AB20" i="1"/>
  <c r="AA20" i="1"/>
  <c r="Z20" i="1" a="1"/>
  <c r="Z20" i="1" s="1"/>
  <c r="Y20" i="1"/>
  <c r="Y18" i="1" s="1"/>
  <c r="X20" i="1"/>
  <c r="W20" i="1" a="1"/>
  <c r="W20" i="1" s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AB19" i="1"/>
  <c r="AB18" i="1" s="1"/>
  <c r="AA19" i="1"/>
  <c r="AA18" i="1" s="1"/>
  <c r="Z19" i="1"/>
  <c r="Y19" i="1"/>
  <c r="X19" i="1"/>
  <c r="X18" i="1" s="1"/>
  <c r="W19" i="1"/>
  <c r="V19" i="1"/>
  <c r="U19" i="1"/>
  <c r="T19" i="1"/>
  <c r="S19" i="1"/>
  <c r="R19" i="1"/>
  <c r="R18" i="1" s="1"/>
  <c r="Q19" i="1"/>
  <c r="P19" i="1"/>
  <c r="O19" i="1"/>
  <c r="N19" i="1"/>
  <c r="M19" i="1"/>
  <c r="L19" i="1"/>
  <c r="L18" i="1" s="1"/>
  <c r="K19" i="1"/>
  <c r="J19" i="1"/>
  <c r="I19" i="1"/>
  <c r="H19" i="1"/>
  <c r="G19" i="1"/>
  <c r="F19" i="1"/>
  <c r="E19" i="1"/>
  <c r="FE18" i="1"/>
  <c r="FD18" i="1"/>
  <c r="FC18" i="1"/>
  <c r="FB18" i="1"/>
  <c r="FA18" i="1"/>
  <c r="EZ18" i="1"/>
  <c r="EY18" i="1"/>
  <c r="EX18" i="1"/>
  <c r="EW18" i="1"/>
  <c r="EW191" i="1" s="1"/>
  <c r="EV18" i="1"/>
  <c r="EU18" i="1"/>
  <c r="ET18" i="1"/>
  <c r="ES18" i="1"/>
  <c r="ER18" i="1"/>
  <c r="EQ18" i="1"/>
  <c r="EP18" i="1"/>
  <c r="EO18" i="1"/>
  <c r="EN18" i="1"/>
  <c r="EM18" i="1"/>
  <c r="EL18" i="1"/>
  <c r="EK18" i="1"/>
  <c r="EK191" i="1" s="1"/>
  <c r="EJ18" i="1"/>
  <c r="EI18" i="1"/>
  <c r="EH18" i="1"/>
  <c r="EG18" i="1"/>
  <c r="EF18" i="1"/>
  <c r="EE18" i="1"/>
  <c r="ED18" i="1"/>
  <c r="EC18" i="1"/>
  <c r="EB18" i="1"/>
  <c r="EA18" i="1"/>
  <c r="DZ18" i="1"/>
  <c r="DY18" i="1"/>
  <c r="DY191" i="1" s="1"/>
  <c r="DX18" i="1"/>
  <c r="DW18" i="1"/>
  <c r="DV18" i="1"/>
  <c r="DU18" i="1"/>
  <c r="DT18" i="1"/>
  <c r="DS18" i="1"/>
  <c r="DR18" i="1"/>
  <c r="DQ18" i="1"/>
  <c r="DP18" i="1"/>
  <c r="DO18" i="1"/>
  <c r="DN18" i="1"/>
  <c r="DM18" i="1"/>
  <c r="DM191" i="1" s="1"/>
  <c r="DL18" i="1"/>
  <c r="DK18" i="1"/>
  <c r="DJ18" i="1"/>
  <c r="DI18" i="1"/>
  <c r="DH18" i="1"/>
  <c r="DG18" i="1"/>
  <c r="DF18" i="1"/>
  <c r="DE18" i="1"/>
  <c r="DD18" i="1"/>
  <c r="DC18" i="1"/>
  <c r="DB18" i="1"/>
  <c r="DA18" i="1"/>
  <c r="DA191" i="1" s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O191" i="1" s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C191" i="1" s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Q191" i="1" s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E191" i="1" s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S191" i="1" s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G191" i="1" s="1"/>
  <c r="AF18" i="1"/>
  <c r="AE18" i="1"/>
  <c r="AD18" i="1"/>
  <c r="AC18" i="1"/>
  <c r="N18" i="1"/>
  <c r="FD13" i="1"/>
  <c r="FC13" i="1"/>
  <c r="EZ13" i="1"/>
  <c r="EY13" i="1"/>
  <c r="EU13" i="1"/>
  <c r="ET13" i="1"/>
  <c r="EQ13" i="1"/>
  <c r="EK13" i="1"/>
  <c r="EJ13" i="1"/>
  <c r="EG13" i="1"/>
  <c r="EF13" i="1"/>
  <c r="EB13" i="1"/>
  <c r="EA13" i="1"/>
  <c r="DX13" i="1"/>
  <c r="DR13" i="1"/>
  <c r="DQ13" i="1"/>
  <c r="DN13" i="1"/>
  <c r="DM13" i="1"/>
  <c r="DI13" i="1"/>
  <c r="DH13" i="1"/>
  <c r="DE13" i="1"/>
  <c r="CY13" i="1"/>
  <c r="CX13" i="1"/>
  <c r="CU13" i="1"/>
  <c r="CT13" i="1"/>
  <c r="CP13" i="1"/>
  <c r="CO13" i="1"/>
  <c r="CL13" i="1"/>
  <c r="CF13" i="1"/>
  <c r="CE13" i="1"/>
  <c r="CB13" i="1"/>
  <c r="CA13" i="1"/>
  <c r="BW13" i="1"/>
  <c r="BV13" i="1"/>
  <c r="BS13" i="1"/>
  <c r="BM13" i="1"/>
  <c r="BL13" i="1"/>
  <c r="BI13" i="1"/>
  <c r="BH13" i="1"/>
  <c r="BD13" i="1"/>
  <c r="BC13" i="1"/>
  <c r="AZ13" i="1"/>
  <c r="AT13" i="1"/>
  <c r="AS13" i="1"/>
  <c r="AP13" i="1"/>
  <c r="AO13" i="1"/>
  <c r="AK13" i="1"/>
  <c r="AJ13" i="1"/>
  <c r="AG13" i="1"/>
  <c r="AB13" i="1"/>
  <c r="Y13" i="1"/>
  <c r="V13" i="1"/>
  <c r="U13" i="1"/>
  <c r="R13" i="1"/>
  <c r="Q13" i="1"/>
  <c r="M13" i="1"/>
  <c r="L13" i="1"/>
  <c r="I13" i="1"/>
  <c r="EM9" i="1"/>
  <c r="DT9" i="1"/>
  <c r="DA9" i="1"/>
  <c r="CH9" i="1"/>
  <c r="BO9" i="1"/>
  <c r="AV9" i="1"/>
  <c r="AC9" i="1"/>
  <c r="D186" i="1" l="1"/>
  <c r="D189" i="1"/>
  <c r="J174" i="1"/>
  <c r="V174" i="1"/>
  <c r="D184" i="1"/>
  <c r="L174" i="1"/>
  <c r="K174" i="1"/>
  <c r="N174" i="1"/>
  <c r="N191" i="1" s="1"/>
  <c r="AI191" i="1"/>
  <c r="AU191" i="1"/>
  <c r="BG191" i="1"/>
  <c r="BS191" i="1"/>
  <c r="CE191" i="1"/>
  <c r="CQ191" i="1"/>
  <c r="DC191" i="1"/>
  <c r="DO191" i="1"/>
  <c r="EA191" i="1"/>
  <c r="EM191" i="1"/>
  <c r="EY191" i="1"/>
  <c r="D190" i="1"/>
  <c r="R174" i="1"/>
  <c r="D183" i="1"/>
  <c r="D188" i="1"/>
  <c r="D174" i="1" s="1"/>
  <c r="G174" i="1"/>
  <c r="S174" i="1"/>
  <c r="D187" i="1"/>
  <c r="AH191" i="1"/>
  <c r="AT191" i="1"/>
  <c r="BF191" i="1"/>
  <c r="BR191" i="1"/>
  <c r="CD191" i="1"/>
  <c r="CP191" i="1"/>
  <c r="DB191" i="1"/>
  <c r="DN191" i="1"/>
  <c r="DZ191" i="1"/>
  <c r="EL191" i="1"/>
  <c r="EX191" i="1"/>
  <c r="Q174" i="1"/>
  <c r="D179" i="1"/>
  <c r="D181" i="1"/>
  <c r="D172" i="1"/>
  <c r="P171" i="1"/>
  <c r="G171" i="1"/>
  <c r="S171" i="1"/>
  <c r="I171" i="1"/>
  <c r="U171" i="1"/>
  <c r="K171" i="1"/>
  <c r="M160" i="1"/>
  <c r="K160" i="1"/>
  <c r="L160" i="1"/>
  <c r="D163" i="1"/>
  <c r="D164" i="1"/>
  <c r="D162" i="1"/>
  <c r="F160" i="1"/>
  <c r="R160" i="1"/>
  <c r="J141" i="1"/>
  <c r="V141" i="1"/>
  <c r="N141" i="1"/>
  <c r="D144" i="1"/>
  <c r="D143" i="1"/>
  <c r="D145" i="1"/>
  <c r="D146" i="1"/>
  <c r="K120" i="1"/>
  <c r="P120" i="1"/>
  <c r="Q120" i="1"/>
  <c r="R120" i="1"/>
  <c r="S120" i="1"/>
  <c r="D130" i="1"/>
  <c r="D120" i="1" s="1"/>
  <c r="H120" i="1"/>
  <c r="T120" i="1"/>
  <c r="I120" i="1"/>
  <c r="U120" i="1"/>
  <c r="U191" i="1" s="1"/>
  <c r="D132" i="1"/>
  <c r="D131" i="1"/>
  <c r="D90" i="1"/>
  <c r="D91" i="1"/>
  <c r="D92" i="1"/>
  <c r="K65" i="1"/>
  <c r="O65" i="1"/>
  <c r="E65" i="1"/>
  <c r="Q65" i="1"/>
  <c r="D68" i="1"/>
  <c r="D70" i="1"/>
  <c r="D66" i="1"/>
  <c r="D69" i="1"/>
  <c r="I65" i="1"/>
  <c r="U65" i="1"/>
  <c r="O57" i="1"/>
  <c r="D64" i="1"/>
  <c r="D62" i="1"/>
  <c r="D57" i="1" s="1"/>
  <c r="D63" i="1"/>
  <c r="M57" i="1"/>
  <c r="J53" i="1"/>
  <c r="V53" i="1"/>
  <c r="L53" i="1"/>
  <c r="K53" i="1"/>
  <c r="AF191" i="1"/>
  <c r="AR191" i="1"/>
  <c r="BD191" i="1"/>
  <c r="BP191" i="1"/>
  <c r="CB191" i="1"/>
  <c r="CN191" i="1"/>
  <c r="CZ191" i="1"/>
  <c r="DL191" i="1"/>
  <c r="DX191" i="1"/>
  <c r="EJ191" i="1"/>
  <c r="EV191" i="1"/>
  <c r="P53" i="1"/>
  <c r="D54" i="1"/>
  <c r="O53" i="1"/>
  <c r="D55" i="1"/>
  <c r="H53" i="1"/>
  <c r="T53" i="1"/>
  <c r="D56" i="1"/>
  <c r="AE191" i="1"/>
  <c r="AQ191" i="1"/>
  <c r="BC191" i="1"/>
  <c r="BO191" i="1"/>
  <c r="CA191" i="1"/>
  <c r="CM191" i="1"/>
  <c r="CY191" i="1"/>
  <c r="DK191" i="1"/>
  <c r="DW191" i="1"/>
  <c r="EI191" i="1"/>
  <c r="EU191" i="1"/>
  <c r="D52" i="1"/>
  <c r="AC191" i="1"/>
  <c r="AO191" i="1"/>
  <c r="BA191" i="1"/>
  <c r="BM191" i="1"/>
  <c r="BY191" i="1"/>
  <c r="CK191" i="1"/>
  <c r="CW191" i="1"/>
  <c r="DI191" i="1"/>
  <c r="DU191" i="1"/>
  <c r="EG191" i="1"/>
  <c r="ES191" i="1"/>
  <c r="FE191" i="1"/>
  <c r="AD191" i="1"/>
  <c r="AP191" i="1"/>
  <c r="BB191" i="1"/>
  <c r="BN191" i="1"/>
  <c r="BZ191" i="1"/>
  <c r="CL191" i="1"/>
  <c r="CX191" i="1"/>
  <c r="DJ191" i="1"/>
  <c r="DV191" i="1"/>
  <c r="EH191" i="1"/>
  <c r="ET191" i="1"/>
  <c r="D48" i="1"/>
  <c r="O45" i="1"/>
  <c r="D47" i="1"/>
  <c r="AN191" i="1"/>
  <c r="AZ191" i="1"/>
  <c r="BL191" i="1"/>
  <c r="BX191" i="1"/>
  <c r="CJ191" i="1"/>
  <c r="CV191" i="1"/>
  <c r="DH191" i="1"/>
  <c r="DT191" i="1"/>
  <c r="EF191" i="1"/>
  <c r="ER191" i="1"/>
  <c r="FD191" i="1"/>
  <c r="AA191" i="1"/>
  <c r="D44" i="1"/>
  <c r="D41" i="1"/>
  <c r="D39" i="1"/>
  <c r="G25" i="1"/>
  <c r="S25" i="1"/>
  <c r="D37" i="1"/>
  <c r="D38" i="1"/>
  <c r="H25" i="1"/>
  <c r="T25" i="1"/>
  <c r="D36" i="1"/>
  <c r="D40" i="1"/>
  <c r="D42" i="1"/>
  <c r="D25" i="1" s="1"/>
  <c r="D43" i="1"/>
  <c r="I25" i="1"/>
  <c r="U25" i="1"/>
  <c r="AJ191" i="1"/>
  <c r="AV191" i="1"/>
  <c r="BH191" i="1"/>
  <c r="BT191" i="1"/>
  <c r="CF191" i="1"/>
  <c r="CR191" i="1"/>
  <c r="DD191" i="1"/>
  <c r="DP191" i="1"/>
  <c r="EB191" i="1"/>
  <c r="EN191" i="1"/>
  <c r="EZ191" i="1"/>
  <c r="R25" i="1"/>
  <c r="R191" i="1" s="1"/>
  <c r="D34" i="1"/>
  <c r="O25" i="1"/>
  <c r="P25" i="1"/>
  <c r="AK191" i="1"/>
  <c r="AW191" i="1"/>
  <c r="BI191" i="1"/>
  <c r="BU191" i="1"/>
  <c r="CG191" i="1"/>
  <c r="CS191" i="1"/>
  <c r="DE191" i="1"/>
  <c r="DQ191" i="1"/>
  <c r="EC191" i="1"/>
  <c r="EO191" i="1"/>
  <c r="FA191" i="1"/>
  <c r="D32" i="1"/>
  <c r="J25" i="1"/>
  <c r="V25" i="1"/>
  <c r="D30" i="1"/>
  <c r="D29" i="1"/>
  <c r="L25" i="1"/>
  <c r="L191" i="1" s="1"/>
  <c r="AL191" i="1"/>
  <c r="AX191" i="1"/>
  <c r="BJ191" i="1"/>
  <c r="BV191" i="1"/>
  <c r="CH191" i="1"/>
  <c r="CT191" i="1"/>
  <c r="DF191" i="1"/>
  <c r="DR191" i="1"/>
  <c r="ED191" i="1"/>
  <c r="EP191" i="1"/>
  <c r="FB191" i="1"/>
  <c r="AM191" i="1"/>
  <c r="AY191" i="1"/>
  <c r="BK191" i="1"/>
  <c r="BW191" i="1"/>
  <c r="CI191" i="1"/>
  <c r="CU191" i="1"/>
  <c r="DG191" i="1"/>
  <c r="DS191" i="1"/>
  <c r="EE191" i="1"/>
  <c r="EQ191" i="1"/>
  <c r="FC191" i="1"/>
  <c r="M25" i="1"/>
  <c r="M191" i="1" s="1"/>
  <c r="K25" i="1"/>
  <c r="D19" i="1"/>
  <c r="G18" i="1"/>
  <c r="S18" i="1"/>
  <c r="S191" i="1" s="1"/>
  <c r="D23" i="1"/>
  <c r="H18" i="1"/>
  <c r="T18" i="1"/>
  <c r="I18" i="1"/>
  <c r="U18" i="1"/>
  <c r="J18" i="1"/>
  <c r="J191" i="1" s="1"/>
  <c r="V18" i="1"/>
  <c r="V191" i="1" s="1"/>
  <c r="D24" i="1"/>
  <c r="K18" i="1"/>
  <c r="O18" i="1"/>
  <c r="O191" i="1" s="1"/>
  <c r="P18" i="1"/>
  <c r="M18" i="1"/>
  <c r="D20" i="1"/>
  <c r="D21" i="1"/>
  <c r="Q191" i="1"/>
  <c r="H191" i="1"/>
  <c r="I191" i="1"/>
  <c r="K191" i="1"/>
  <c r="W18" i="1"/>
  <c r="W191" i="1" s="1"/>
  <c r="X191" i="1"/>
  <c r="D53" i="1"/>
  <c r="Y191" i="1"/>
  <c r="Z18" i="1"/>
  <c r="Z191" i="1" s="1"/>
  <c r="P191" i="1"/>
  <c r="D93" i="1"/>
  <c r="F49" i="1"/>
  <c r="E57" i="1"/>
  <c r="F65" i="1"/>
  <c r="D95" i="1"/>
  <c r="D142" i="1"/>
  <c r="D141" i="1" s="1"/>
  <c r="D51" i="1"/>
  <c r="D49" i="1" s="1"/>
  <c r="D67" i="1"/>
  <c r="E120" i="1"/>
  <c r="D173" i="1"/>
  <c r="D171" i="1" s="1"/>
  <c r="E25" i="1"/>
  <c r="F120" i="1"/>
  <c r="E147" i="1"/>
  <c r="F25" i="1"/>
  <c r="G120" i="1"/>
  <c r="G191" i="1" s="1"/>
  <c r="M133" i="1"/>
  <c r="D140" i="1"/>
  <c r="D133" i="1" s="1"/>
  <c r="F147" i="1"/>
  <c r="D148" i="1"/>
  <c r="D147" i="1" s="1"/>
  <c r="E174" i="1"/>
  <c r="D46" i="1"/>
  <c r="AB53" i="1"/>
  <c r="AB191" i="1" s="1"/>
  <c r="E93" i="1"/>
  <c r="F174" i="1"/>
  <c r="D22" i="1"/>
  <c r="E53" i="1"/>
  <c r="F93" i="1"/>
  <c r="E133" i="1"/>
  <c r="M120" i="1"/>
  <c r="D161" i="1"/>
  <c r="D160" i="1" s="1"/>
  <c r="F18" i="1"/>
  <c r="E171" i="1"/>
  <c r="T191" i="1" l="1"/>
  <c r="D65" i="1"/>
  <c r="E191" i="1"/>
  <c r="D45" i="1"/>
  <c r="D18" i="1"/>
  <c r="F191" i="1"/>
  <c r="D191" i="1" l="1"/>
</calcChain>
</file>

<file path=xl/sharedStrings.xml><?xml version="1.0" encoding="utf-8"?>
<sst xmlns="http://schemas.openxmlformats.org/spreadsheetml/2006/main" count="506" uniqueCount="349">
  <si>
    <t>Ūkio subjektas: UŽDAROJI AKCINE BENDROVĖ  " ŠALČININKŲ ŠILUMOS TINKLAI"</t>
  </si>
  <si>
    <t>Ataskaitinis laikotarpis: 2025-01-01 - 2026-01-01</t>
  </si>
  <si>
    <t>Ūkio subjekto sąnaudų paskirstymo ataskaita (eurais)</t>
  </si>
  <si>
    <t>Šilumos sektoriaus įmonių apskaitos atskyrimo ir sąnaudų paskirstymo reikalavimų aprašo 12 priedas</t>
  </si>
  <si>
    <t>SĄNAUDŲ GRUPĖS IR POGRUPIAI</t>
  </si>
  <si>
    <t>IŠ VISO (tiesioginių, netiesioginių ir bendrųjų sąnaudų sumas)</t>
  </si>
  <si>
    <t>IŠ VISO</t>
  </si>
  <si>
    <r>
      <t xml:space="preserve">Šilumos gamybos </t>
    </r>
    <r>
      <rPr>
        <sz val="8"/>
        <rFont val="Times New Roman"/>
        <family val="1"/>
      </rPr>
      <t>(įskaitant perkamą šilumą) verslo</t>
    </r>
    <r>
      <rPr>
        <sz val="8"/>
        <rFont val="Times New Roman"/>
        <family val="1"/>
        <charset val="186"/>
      </rPr>
      <t xml:space="preserve"> vienetas</t>
    </r>
  </si>
  <si>
    <t>Šilumos perdavimo verslo vienetas</t>
  </si>
  <si>
    <r>
      <t xml:space="preserve">Mažmeninio aptarnavimo </t>
    </r>
    <r>
      <rPr>
        <sz val="8"/>
        <rFont val="Times New Roman"/>
        <family val="1"/>
      </rPr>
      <t>(šilumos pardavimo)</t>
    </r>
    <r>
      <rPr>
        <sz val="8"/>
        <rFont val="Times New Roman"/>
        <family val="1"/>
        <charset val="186"/>
      </rPr>
      <t xml:space="preserve"> verslo vienetas</t>
    </r>
  </si>
  <si>
    <t>Karšto vandens tiekimo verslo vienetas</t>
  </si>
  <si>
    <t>Neatsiskaitomųjų šilumos apskaitos prietaisų aptarnavimo veiklos verslo vienetas</t>
  </si>
  <si>
    <t>Pastatų šildymo ir karšto vandens sistemų priežiūros verslo vienetas</t>
  </si>
  <si>
    <t>Prekybos apyvartiniais taršos leidimais ir su ja susijusios veiklos verslo vienetas</t>
  </si>
  <si>
    <t>Kitos reguliuojamosios veiklos verslo vienetas</t>
  </si>
  <si>
    <t>Nereguliuojamosios veiklos verslo vienetas</t>
  </si>
  <si>
    <t>Šilumos (produkto) gamyba</t>
  </si>
  <si>
    <t>Šilumos poreikio piko pajėgumų ir rezervinės galios užtikrinimas</t>
  </si>
  <si>
    <t>Šilumos perdavimas centralizuoto šilumos tiekimo sistemos tinklais</t>
  </si>
  <si>
    <t xml:space="preserve">Balansavimas centralizuoto šilumos tiekimo sistemoje </t>
  </si>
  <si>
    <t xml:space="preserve">Karšto vandens tiekimas (ruošimas ir vartotojų mažmeninis aptarnavimas) </t>
  </si>
  <si>
    <t xml:space="preserve">Karšto vandens temperatūros palaikymas
</t>
  </si>
  <si>
    <t>Karšto vandens apskaitos prietaisų aptarnavimas</t>
  </si>
  <si>
    <t>Pastatų šildymo ir karšto vandens sistemų einamoji priežiūra</t>
  </si>
  <si>
    <t>Pastatų šildymo ir karšto vandens sistemų rekonstrukcija</t>
  </si>
  <si>
    <t>Elektros energijos (produkto) gamyba</t>
  </si>
  <si>
    <t>Geriamojo vandens tiekimas ir nuotekų tvarkymas</t>
  </si>
  <si>
    <t>Konkurencinė šilumos gamybos veikla</t>
  </si>
  <si>
    <t>katilinių ir elektrodinių katilinių kolektoriuose</t>
  </si>
  <si>
    <t>kogeneracinėse jėgainėse</t>
  </si>
  <si>
    <t>I.</t>
  </si>
  <si>
    <t>ŠILUMOS ĮSIGIJIMO SĄNAUDOS</t>
  </si>
  <si>
    <t>I.1.</t>
  </si>
  <si>
    <t>Šilumos įsigijimo sąnaudos</t>
  </si>
  <si>
    <t>I.2.</t>
  </si>
  <si>
    <t>Atliekinės šilumos įsigijimo sąnaudos</t>
  </si>
  <si>
    <t>I.3.</t>
  </si>
  <si>
    <t>Balansavimo aukcionų  sąnaudos</t>
  </si>
  <si>
    <t>I.4.</t>
  </si>
  <si>
    <t>Pajėgumų aukcionų sąnaudos</t>
  </si>
  <si>
    <t>I.5.</t>
  </si>
  <si>
    <t>Balansavimo sąnaudos</t>
  </si>
  <si>
    <t>I.6.</t>
  </si>
  <si>
    <t>II.</t>
  </si>
  <si>
    <t>KURO SĄNAUDOS ENERGIJAI GAMINTI</t>
  </si>
  <si>
    <t>II.1.</t>
  </si>
  <si>
    <t>Gamtinių dujų įsigijimo sąnaudos</t>
  </si>
  <si>
    <t>II.2.</t>
  </si>
  <si>
    <t>Mazuto įsigijimo sąnaudos</t>
  </si>
  <si>
    <t>II.3.</t>
  </si>
  <si>
    <t>Medienos skiedrų (išskyrus skiedras, kurių gamybai kaip žaliava naudojamos miško kirtimo liekanos) įsigijimo sąnaudos</t>
  </si>
  <si>
    <t>II.4.</t>
  </si>
  <si>
    <t>Medienos skiedrų, kurių gamybai kaip žaliava naudojamos miško kirtimo liekanos, įsigijimo sąnaudos</t>
  </si>
  <si>
    <t>II.5.</t>
  </si>
  <si>
    <t>Medienos kilmės biokuro (kuro rūšių, kuriomis neprekiaujama Energijos išteklių biržoje (pvz.: pjuvenos, drožlės, biokuro mišinys ir kt.)) įsigijimo sąnaudos</t>
  </si>
  <si>
    <t>II.6.</t>
  </si>
  <si>
    <t>Malkinės medienos įsigijimo sąnaudos</t>
  </si>
  <si>
    <t>II.7.</t>
  </si>
  <si>
    <t xml:space="preserve">Medienos briketų įsigijimo sąnaudos </t>
  </si>
  <si>
    <t>II.8.</t>
  </si>
  <si>
    <t>Medžio granulių  įsigijimo sąnaudos</t>
  </si>
  <si>
    <t>II.9.</t>
  </si>
  <si>
    <t>Skalūnų alyvos  įsigijimo sąnaudos</t>
  </si>
  <si>
    <t>II.10.</t>
  </si>
  <si>
    <t>Dyzelino įsigijimo sąnaudos</t>
  </si>
  <si>
    <t>II.11.</t>
  </si>
  <si>
    <t>Suskystintų dujų  įsigijimo sąnaudos</t>
  </si>
  <si>
    <t>II.12.</t>
  </si>
  <si>
    <t xml:space="preserve">Akmens anglies  įsigijimo sąnaudos </t>
  </si>
  <si>
    <t>II.13.</t>
  </si>
  <si>
    <t xml:space="preserve">Biodujų įsigijimo sąnaudos </t>
  </si>
  <si>
    <t>II.14.</t>
  </si>
  <si>
    <t xml:space="preserve">Šiaudių įsigijimo sąnaudos </t>
  </si>
  <si>
    <t>II.15.</t>
  </si>
  <si>
    <t xml:space="preserve">Durpių įsigijimo sąnaudos </t>
  </si>
  <si>
    <t>II.16.</t>
  </si>
  <si>
    <t>II.17.</t>
  </si>
  <si>
    <t>II.18.</t>
  </si>
  <si>
    <t>II.19.</t>
  </si>
  <si>
    <t>III.</t>
  </si>
  <si>
    <t>ELEKTROS ENERGIJOS TECHNOLOGINĖMS REIKMĖMS ĮSIGIJIMO SĄNAUDOS</t>
  </si>
  <si>
    <t>III.1.</t>
  </si>
  <si>
    <t>Elektros energijos technologinėms reikmėms įsigijimo sąnaudos</t>
  </si>
  <si>
    <t>III.2.</t>
  </si>
  <si>
    <t>Savuose šaltiniuose pagamintos elektros energijos technologijai sąnaudos</t>
  </si>
  <si>
    <t>III.3.</t>
  </si>
  <si>
    <t>IV.</t>
  </si>
  <si>
    <t>VANDENS TECHNOLOGINĖMS REIKMĖMS ĮSIGIJIMO IR NUOTEKŲ TVARKYMO SĄNAUDOS</t>
  </si>
  <si>
    <t>IV.1.</t>
  </si>
  <si>
    <t>Vandens technologinėms reikmėms įsigijimo sąnaudos</t>
  </si>
  <si>
    <t>IV.2.</t>
  </si>
  <si>
    <t>Nuotekų tvarkymo sąnaudos</t>
  </si>
  <si>
    <t>IV.3.</t>
  </si>
  <si>
    <t>V.</t>
  </si>
  <si>
    <t>APYVARTINIŲ TARŠOS LEIDIMŲ ĮSIGIJIMO SĄNAUDOS</t>
  </si>
  <si>
    <t>V.1.</t>
  </si>
  <si>
    <t>Apyvartinių taršos leidimų įsigjimo sąnaudos</t>
  </si>
  <si>
    <t>V.2.</t>
  </si>
  <si>
    <t>V.3.</t>
  </si>
  <si>
    <t>VI.</t>
  </si>
  <si>
    <t>KITOS KINTAMOSIOS SĄNAUDOS</t>
  </si>
  <si>
    <t>VI.1.</t>
  </si>
  <si>
    <t>Pelenų tvarkymo (išvežimo, utilizavimo) sąnaudos</t>
  </si>
  <si>
    <t>VI.2.</t>
  </si>
  <si>
    <t>Energijos išteklių biržos operatoriaus teikiamų paslaugų sąnaudos</t>
  </si>
  <si>
    <t>VI.3.</t>
  </si>
  <si>
    <t>Gamtinių dujų biržos operatoriaus teikiamų paslaugų sąnaudos</t>
  </si>
  <si>
    <t>VI.4.</t>
  </si>
  <si>
    <t>Laboratoriniai tyrimai</t>
  </si>
  <si>
    <t>VI.5.</t>
  </si>
  <si>
    <t>Cheminės medžiagos technologijai</t>
  </si>
  <si>
    <t>VI.6.</t>
  </si>
  <si>
    <t>VI.7.</t>
  </si>
  <si>
    <t>VII.</t>
  </si>
  <si>
    <t>NUSIDĖVĖJIMO (AMORTIZACIJOS) SĄNAUDOS</t>
  </si>
  <si>
    <t>VII.1.</t>
  </si>
  <si>
    <t>Plėtros darbų nusidėvėjimo sąnaudos</t>
  </si>
  <si>
    <t>VII.2.</t>
  </si>
  <si>
    <t>Prestižo nusidėvėjimo sąnaudos</t>
  </si>
  <si>
    <t>VII.3.</t>
  </si>
  <si>
    <t>Patentų, licencijų, įsigytų teisių nusidėvėjimo sąnaudos</t>
  </si>
  <si>
    <t>VII.4.</t>
  </si>
  <si>
    <t>Programinės įrangos nusidėvėjimo sąnaudos</t>
  </si>
  <si>
    <t>VII.5.</t>
  </si>
  <si>
    <t>Kito nematerialaus turto (nurodyti) nusidėvėjimo sąnaudos</t>
  </si>
  <si>
    <t>VII.6.</t>
  </si>
  <si>
    <t>Gamybinės paskirties pastatų, statinių (katilinių) nusidėvėjimo sąnaudos</t>
  </si>
  <si>
    <t>VII.7.</t>
  </si>
  <si>
    <t>Gamybinės paskirties pastatų, statinių (konteinerinių katilinių, siurblinių) nusidėvėjimo sąnaudos</t>
  </si>
  <si>
    <t>VII.8.</t>
  </si>
  <si>
    <t>Gamybinės paskirties pastatų, statinių (kitų technologinės paskirties) nusidėvėjimo sąnaudos</t>
  </si>
  <si>
    <t>VII.9.</t>
  </si>
  <si>
    <t>Kitos paskirties pastatų, statinių (kuro (mazuto) rezervuarų) nusidėvėjimo sąnaudos</t>
  </si>
  <si>
    <t>VII.10.</t>
  </si>
  <si>
    <t>Kitos paskirties pastatų, statinių (dūmtraukių mūrinių, gelžbetoninių) nusidėvėjimo sąnaudos</t>
  </si>
  <si>
    <t>VII.11.</t>
  </si>
  <si>
    <t>Kitos paskirties pastatų, statinių (dūmtraukių metalinių) nusidėvėjimo sąnaudos</t>
  </si>
  <si>
    <t>VII.12.</t>
  </si>
  <si>
    <t>Kitos paskirties pastatų, statinių (vamzdynų) nusidėvėjimo sąnaudos</t>
  </si>
  <si>
    <t>VII.13.</t>
  </si>
  <si>
    <t>Administracinės paskirties pastatų, statinių nusidėvėjimo sąnaudos</t>
  </si>
  <si>
    <t>VII.14.</t>
  </si>
  <si>
    <t>Kitos paskirties pastatų nusidėvėjimo sąnaudos</t>
  </si>
  <si>
    <t>VII.15.</t>
  </si>
  <si>
    <t>Kitos įrangos, prietaisų, įrankių, įrenginių (kelių, aikštelių, šaligatvių, tvorų) nusidėvėjimo sąnaudos</t>
  </si>
  <si>
    <t>VII.16.</t>
  </si>
  <si>
    <t>Mašinų ir įrengimų (katilinių įrengimų, stacionariųjų garo katilų) nusidėvėjimo sąnaudos</t>
  </si>
  <si>
    <t>VII.17.</t>
  </si>
  <si>
    <t>Mašinų ir įrengimų (vandens šildymo katilų) nusidėvėjimo sąnaudos</t>
  </si>
  <si>
    <t>VII.18.</t>
  </si>
  <si>
    <t>Mašinų ir įrengimų (siurblių, kitų siurblinės įrengimų) nusidėvėjimo sąnaudos</t>
  </si>
  <si>
    <t>VII.19.</t>
  </si>
  <si>
    <t>Mašinų ir įrengimų (šilumos punktų, mazgų, modulių) nusidėvėjimo sąnaudos</t>
  </si>
  <si>
    <t>VII.20.</t>
  </si>
  <si>
    <t>Kitų mašinų ir įrengimų (nurodyti) nusidėvėjimo sąnaudos</t>
  </si>
  <si>
    <t>VII.21.</t>
  </si>
  <si>
    <t>Kitos įrangos, prietaisų, įrankių, įrenginių nusidėvėjimo sąnaudos</t>
  </si>
  <si>
    <t>VII.22.</t>
  </si>
  <si>
    <t>Kitos įrangos, prietaisų, įrankių, įrenginių (šilumos kiekio apskaitos prietaisų) nusidėvėjimo sąnaudos</t>
  </si>
  <si>
    <t>VII.23.</t>
  </si>
  <si>
    <t>Kitos įrangos, prietaisų, įrankių, įrenginių (kitų šilumos matavimo ir reguliavimo prietaisų) nusidėvėjimo sąnaudos</t>
  </si>
  <si>
    <t>VII.24.</t>
  </si>
  <si>
    <t>Transporto priemonių nusidėvėjimo sąnaudos</t>
  </si>
  <si>
    <t>VII.25.</t>
  </si>
  <si>
    <t>Kito materialaus turto nusidėvėjimo sąnaudos</t>
  </si>
  <si>
    <t>VII.26.</t>
  </si>
  <si>
    <t>Investicinio turto nusidėvėjimo sąnaudos</t>
  </si>
  <si>
    <t>VII.27.</t>
  </si>
  <si>
    <t>Kito ilgalaikio turto nusidėvėjimo sąnaudos</t>
  </si>
  <si>
    <t>VIII.</t>
  </si>
  <si>
    <t>EINAMOJO REMONTO IR APTARNAVIMO SĄNAUDOS</t>
  </si>
  <si>
    <t>VIII.1.</t>
  </si>
  <si>
    <t>Gamybos objektų einamojo remonto, aptarnavimo sąnaudos</t>
  </si>
  <si>
    <t>VIII.2.</t>
  </si>
  <si>
    <t>Tinklų einamojo remonto, aptarnavimo sąnaudos</t>
  </si>
  <si>
    <t>VIII.3.</t>
  </si>
  <si>
    <t>Šilumos punktų einamojo remonto, aptarnavimo sąnaudos</t>
  </si>
  <si>
    <t>VIII.4.</t>
  </si>
  <si>
    <t>IT aptarnavimo sąnaudos</t>
  </si>
  <si>
    <t>VIII.5.</t>
  </si>
  <si>
    <t>Kitų objektų (nurodyti) einamojo remonto, aptarnavimo sąnaudos</t>
  </si>
  <si>
    <t>VIII.6.</t>
  </si>
  <si>
    <t>Medžiagų, žaliavų sąnaudos gamybos objektams</t>
  </si>
  <si>
    <t>VIII.7.</t>
  </si>
  <si>
    <t>Medžiagų, žaliavų sąnaudos tinklams</t>
  </si>
  <si>
    <t>VIII.8.</t>
  </si>
  <si>
    <t>Medžiagų, žaliavų sąnaudos šilumos punktams</t>
  </si>
  <si>
    <t>VIII.9.</t>
  </si>
  <si>
    <t>Medžiagų, žaliavų sąnaudos IT</t>
  </si>
  <si>
    <t>VIII.10.</t>
  </si>
  <si>
    <t>Medžiagų, žaliavų sąnaudos kitiems objektams (nurodyti)</t>
  </si>
  <si>
    <t>VIII.11.</t>
  </si>
  <si>
    <t>Atsiskaitomųjų šilumos apskaitos prietaisų eksploatacijos sąnaudos</t>
  </si>
  <si>
    <t>VIII.12.</t>
  </si>
  <si>
    <t>Nuotolinės duomenų nuskaitymo ir perdavimo sistemos priežiūros sąnaudos</t>
  </si>
  <si>
    <t>VIII.13.</t>
  </si>
  <si>
    <t>Patalpų (ne administracinių) remonto, aptarnavimo sąnaudos</t>
  </si>
  <si>
    <t>VIII.14.</t>
  </si>
  <si>
    <t>Rezervinio kuro saugojimo, atnaujinimo ir įsigijimo sąnaudos</t>
  </si>
  <si>
    <t>VIII.15.</t>
  </si>
  <si>
    <t>Mažaverčio inventoriaus sąnaudos</t>
  </si>
  <si>
    <t>VIII.16.</t>
  </si>
  <si>
    <t>Turto nuomos (ne šilumos ūkio nuomos, koncesijos sutarties objektų) sąnaudos</t>
  </si>
  <si>
    <t>VIII.17.</t>
  </si>
  <si>
    <t>Komunalinių paslaugų (elektros energija, vanduo, nuotekos, atliekos, t.t.) sąnaudos (ne administracinių patalpų)</t>
  </si>
  <si>
    <t>VIII.18.</t>
  </si>
  <si>
    <t>Transporto priemonių eksploatacinės sąnaudos</t>
  </si>
  <si>
    <t>VIII.19.</t>
  </si>
  <si>
    <t>Transporto priemonių kuro sąnaudos</t>
  </si>
  <si>
    <t>VIII.20.</t>
  </si>
  <si>
    <t>Muitinės ir ekspedijavimo paslaugų sąnaudos</t>
  </si>
  <si>
    <t>VIII.21.</t>
  </si>
  <si>
    <t>Metrologinės patikros sąnaudos (šilumos ir karšto vandens apskaitos prietaisų)</t>
  </si>
  <si>
    <t>VIII.22.</t>
  </si>
  <si>
    <t>VIII.23.</t>
  </si>
  <si>
    <t>VIII.24.</t>
  </si>
  <si>
    <t>VIII.25.</t>
  </si>
  <si>
    <t>VIII.26.</t>
  </si>
  <si>
    <t>IX.</t>
  </si>
  <si>
    <t>PERSONALO SĄNAUDOS</t>
  </si>
  <si>
    <t>IX.1.</t>
  </si>
  <si>
    <t>Darbo užmokesčio sąnaudos (be administracijos darbuotojų darbo užmokesčio sąnaudų)</t>
  </si>
  <si>
    <t>IX.2.</t>
  </si>
  <si>
    <t>Darbdavio įmokų Valstybinio socialinio draudimo fondo valdybai sąnaudos</t>
  </si>
  <si>
    <t>IX.3.</t>
  </si>
  <si>
    <t>Papildomo darbuotojų draudimo sąnaudos</t>
  </si>
  <si>
    <t>IX.4.</t>
  </si>
  <si>
    <t>Mokymų, kvalifikacijos kėlimo, studijų sąnaudos</t>
  </si>
  <si>
    <t>IX.5.</t>
  </si>
  <si>
    <t>Išeitinės pašalpos, kompensacijos</t>
  </si>
  <si>
    <t>IX.6.</t>
  </si>
  <si>
    <t>Apsauginiai ir darbo drabužiai</t>
  </si>
  <si>
    <t>IX.7.</t>
  </si>
  <si>
    <t>Kelionės sąnaudos</t>
  </si>
  <si>
    <t>IX.8.</t>
  </si>
  <si>
    <t xml:space="preserve">Administracijos darbuotojų darbo užmokesčio sąnaudos  </t>
  </si>
  <si>
    <t>IX.9.</t>
  </si>
  <si>
    <t>IX.10.</t>
  </si>
  <si>
    <t>IX.11.</t>
  </si>
  <si>
    <t>IX.12.</t>
  </si>
  <si>
    <t>X.</t>
  </si>
  <si>
    <t>MOKESČIŲ SĄNAUDOS</t>
  </si>
  <si>
    <t>X.1.</t>
  </si>
  <si>
    <t>Žemės mokesčio sąnaudos</t>
  </si>
  <si>
    <t>X.2.</t>
  </si>
  <si>
    <t>Nekilnojamo turto mokesčio sąnaudos</t>
  </si>
  <si>
    <t>X.3.</t>
  </si>
  <si>
    <t>Aplinkos taršos mokesčio sąnaudos</t>
  </si>
  <si>
    <t>X.4.</t>
  </si>
  <si>
    <t>Valstybinių išteklių mokesčio sąnaudos</t>
  </si>
  <si>
    <t>X.5.</t>
  </si>
  <si>
    <t>Žyminio mokesčio sąnaudos</t>
  </si>
  <si>
    <t>X.6.</t>
  </si>
  <si>
    <t>Energetikos įstatyme numatytų mokesčių sąnaudos</t>
  </si>
  <si>
    <t>X.7.</t>
  </si>
  <si>
    <t>XI.</t>
  </si>
  <si>
    <t>FINANSINĖS SĄNAUDOS</t>
  </si>
  <si>
    <t>XI.1.</t>
  </si>
  <si>
    <t>Banko paslaugų (komisinių) sąnaudos</t>
  </si>
  <si>
    <t>XI.2.</t>
  </si>
  <si>
    <t>Palūkanų sąnaudos</t>
  </si>
  <si>
    <t>XI.3.</t>
  </si>
  <si>
    <t>Neigiamos mokėtinų ir gautinų sumų perkainojimo įtakos sąnaudos</t>
  </si>
  <si>
    <t>XI.4.</t>
  </si>
  <si>
    <t>XI.5.</t>
  </si>
  <si>
    <t>XII.</t>
  </si>
  <si>
    <t>ADMINISTRACINĖS SĄNAUDOS</t>
  </si>
  <si>
    <t>XII.1.</t>
  </si>
  <si>
    <t>Teisinės paslaugos</t>
  </si>
  <si>
    <t>XII.2.</t>
  </si>
  <si>
    <t>Konsultacinės paslaugos</t>
  </si>
  <si>
    <t>XII.3.</t>
  </si>
  <si>
    <t>Ryšių paslaugos</t>
  </si>
  <si>
    <t>XII.4.</t>
  </si>
  <si>
    <t>Pašto, pasiuntinių paslaugos</t>
  </si>
  <si>
    <t>XII.5.</t>
  </si>
  <si>
    <t>Kanceliarinės sąnaudos</t>
  </si>
  <si>
    <t>XII.6.</t>
  </si>
  <si>
    <t>Org.inventoriaus aptarnavimas, remontas</t>
  </si>
  <si>
    <t>XII.7.</t>
  </si>
  <si>
    <t>Profesinė literatūra, spauda</t>
  </si>
  <si>
    <t>XII.8.</t>
  </si>
  <si>
    <t>Komunalinės paslaugos (elektros energija, vanduo, nuotekos, šiukšlės, t.t.)</t>
  </si>
  <si>
    <t>XII.9.</t>
  </si>
  <si>
    <t>Patalpų priežiūros sąnaudos</t>
  </si>
  <si>
    <t>XII.10.</t>
  </si>
  <si>
    <t>XII.11.</t>
  </si>
  <si>
    <t>XII.12.</t>
  </si>
  <si>
    <t>XIII.</t>
  </si>
  <si>
    <t>RINKODAROS IR PARDAVIMŲ SĄNAUDOS</t>
  </si>
  <si>
    <t>XIII.1.</t>
  </si>
  <si>
    <t>Reklamos paslaugoms (produktams) sąnaudos</t>
  </si>
  <si>
    <t>XIII.2.</t>
  </si>
  <si>
    <t>Privalomo vartotojų informavimo, įskaitant tinklalapio palaikymą, sąnaudos</t>
  </si>
  <si>
    <t>XIII.3.</t>
  </si>
  <si>
    <t>Prekės ženklo, įvaizdžio sąnaudos</t>
  </si>
  <si>
    <t>XIII.4.</t>
  </si>
  <si>
    <t>Rinkos tyrimų sąnaudos</t>
  </si>
  <si>
    <t>XIII.5.</t>
  </si>
  <si>
    <t>Sąskaitų vartotojams parengimo, pateikimo sąnaudos</t>
  </si>
  <si>
    <t>XIII.6.</t>
  </si>
  <si>
    <t>Vartotojų mokėjimų administravimo, surinkimo sąnaudos</t>
  </si>
  <si>
    <t>XIII.7.</t>
  </si>
  <si>
    <t>Reprezentacijos sąnaudos</t>
  </si>
  <si>
    <t>XIII.8.</t>
  </si>
  <si>
    <r>
      <t>Švietimo ir konsultavimo sąnaudos</t>
    </r>
    <r>
      <rPr>
        <vertAlign val="superscript"/>
        <sz val="10"/>
        <rFont val="Times New Roman Baltic"/>
        <charset val="186"/>
      </rPr>
      <t>1</t>
    </r>
  </si>
  <si>
    <t>XIII.9.</t>
  </si>
  <si>
    <t>XIII.10.</t>
  </si>
  <si>
    <t>XIV.</t>
  </si>
  <si>
    <t>ŠILUMOS ŪKIO TURTO NUOMOS, KONCESIJOS SĄNAUDOS</t>
  </si>
  <si>
    <t>XIV.1.</t>
  </si>
  <si>
    <t>Šilumos ūkio turto nuomos, koncesijos sąnaudos</t>
  </si>
  <si>
    <t>XIV.2.</t>
  </si>
  <si>
    <t>XV.</t>
  </si>
  <si>
    <t>KITOS PASTOVIOSIOS SĄNAUDOS</t>
  </si>
  <si>
    <t>XV.1.</t>
  </si>
  <si>
    <t>Turto draudimo sąnaudos</t>
  </si>
  <si>
    <t>XV.2.</t>
  </si>
  <si>
    <t>Veiklos rizikos draudimo sąnaudos</t>
  </si>
  <si>
    <t>XV.3.</t>
  </si>
  <si>
    <t>Audito (finansinių ataskaitų) sąnaudos</t>
  </si>
  <si>
    <t>XV.4.</t>
  </si>
  <si>
    <t>Audito (reguliuojamos veiklos ataskaitų) sąnaudos</t>
  </si>
  <si>
    <t>XV.5.</t>
  </si>
  <si>
    <t>Audito (kito) sąnaudos</t>
  </si>
  <si>
    <t>XV.6.</t>
  </si>
  <si>
    <t>Skolų išieškojimo sąnaudos</t>
  </si>
  <si>
    <t>XV.7.</t>
  </si>
  <si>
    <t>Narystės, stojamųjų įmokų sąnaudos</t>
  </si>
  <si>
    <t>XV.8.</t>
  </si>
  <si>
    <t>Likviduoto, nurašyto turto sąnaudos</t>
  </si>
  <si>
    <t>XV.9.</t>
  </si>
  <si>
    <t>Nurašytų atsiskaitomųjų karšto vandens apskaitos prietaisų sąnaudos</t>
  </si>
  <si>
    <t>XV.10.</t>
  </si>
  <si>
    <t>Labdara, parama, švietimas</t>
  </si>
  <si>
    <t>XV.11.</t>
  </si>
  <si>
    <t>Beviltiškos skolos</t>
  </si>
  <si>
    <t>XV.12.</t>
  </si>
  <si>
    <t>Priskaitytos baudos ir delspinigiai</t>
  </si>
  <si>
    <t>XV.13.</t>
  </si>
  <si>
    <t>Tantjemos</t>
  </si>
  <si>
    <t>XV.14.</t>
  </si>
  <si>
    <t>Rezervinės galios užtikrinimo įsigijimo sąnaudos</t>
  </si>
  <si>
    <t>XV.15.</t>
  </si>
  <si>
    <t>XV.16.</t>
  </si>
  <si>
    <t>IŠ VISO (tiesioginių, netiesioginių, bendrųjų sąnaudų):</t>
  </si>
  <si>
    <t>Pastabos:</t>
  </si>
  <si>
    <t>1. Nurodomos sąnaudos pagal Lietuvos Respublikos energijos vartojimo efektyvumo didinimo įstatymo nuostatas.</t>
  </si>
  <si>
    <t>2. Papildomai nurodoma tiek centralizuoto šilumos tiekimo (CŠT) sistemų, pagal kiek ūkio subjektas vykdo reguliavimo apskaitos atskyrimą ir sąnaudų paskirstymą.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</si>
</sst>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charset val="186"/>
      <scheme val="minor"/>
    </font>
    <font>
      <sz val="11"/>
      <name val="Aptos Narrow"/>
      <charset val="186"/>
      <scheme val="minor"/>
    </font>
    <font>
      <b/>
      <sz val="11"/>
      <name val="Aptos Narrow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8"/>
      <name val="Times New Roman"/>
      <family val="1"/>
    </font>
    <font>
      <sz val="10"/>
      <name val="Arial"/>
      <charset val="186"/>
    </font>
    <font>
      <b/>
      <sz val="10"/>
      <name val="Times New Roman Baltic"/>
      <charset val="186"/>
    </font>
    <font>
      <sz val="10"/>
      <name val="Times New Roman Baltic"/>
      <charset val="186"/>
    </font>
    <font>
      <vertAlign val="superscript"/>
      <sz val="10"/>
      <name val="Times New Roman Baltic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</fills>
  <borders count="5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41">
    <xf numFmtId="0" fontId="0" fillId="0" borderId="0" xfId="0"/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/>
    <xf numFmtId="0" fontId="2" fillId="0" borderId="1" xfId="1" applyFont="1" applyBorder="1"/>
    <xf numFmtId="0" fontId="2" fillId="2" borderId="0" xfId="1" applyFont="1" applyFill="1"/>
    <xf numFmtId="0" fontId="3" fillId="2" borderId="1" xfId="1" applyFont="1" applyFill="1" applyBorder="1" applyAlignment="1">
      <alignment horizontal="left"/>
    </xf>
    <xf numFmtId="0" fontId="4" fillId="2" borderId="0" xfId="1" applyFont="1" applyFill="1"/>
    <xf numFmtId="0" fontId="5" fillId="3" borderId="0" xfId="1" applyFont="1" applyFill="1" applyAlignment="1">
      <alignment horizontal="left" vertical="center" wrapText="1"/>
    </xf>
    <xf numFmtId="0" fontId="4" fillId="0" borderId="0" xfId="1" applyFont="1"/>
    <xf numFmtId="0" fontId="4" fillId="2" borderId="0" xfId="1" applyFont="1" applyFill="1" applyAlignment="1">
      <alignment horizontal="right"/>
    </xf>
    <xf numFmtId="0" fontId="4" fillId="0" borderId="0" xfId="1" applyFont="1" applyAlignment="1">
      <alignment horizontal="right"/>
    </xf>
    <xf numFmtId="0" fontId="4" fillId="2" borderId="0" xfId="1" applyFont="1" applyFill="1" applyAlignment="1">
      <alignment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4" fillId="5" borderId="7" xfId="1" applyFont="1" applyFill="1" applyBorder="1" applyAlignment="1">
      <alignment horizontal="center"/>
    </xf>
    <xf numFmtId="0" fontId="4" fillId="5" borderId="8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 vertical="center"/>
    </xf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6" fillId="4" borderId="10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4" fillId="4" borderId="10" xfId="1" applyFont="1" applyFill="1" applyBorder="1" applyAlignment="1">
      <alignment horizontal="center" vertical="center" wrapText="1"/>
    </xf>
    <xf numFmtId="0" fontId="7" fillId="5" borderId="11" xfId="2" applyFont="1" applyFill="1" applyBorder="1" applyAlignment="1">
      <alignment horizontal="center" vertical="center" wrapText="1"/>
    </xf>
    <xf numFmtId="0" fontId="7" fillId="5" borderId="12" xfId="2" applyFont="1" applyFill="1" applyBorder="1" applyAlignment="1">
      <alignment horizontal="center" vertical="center" wrapText="1"/>
    </xf>
    <xf numFmtId="0" fontId="7" fillId="5" borderId="13" xfId="2" applyFont="1" applyFill="1" applyBorder="1" applyAlignment="1">
      <alignment horizontal="center" vertical="center" wrapText="1"/>
    </xf>
    <xf numFmtId="0" fontId="7" fillId="5" borderId="14" xfId="2" applyFont="1" applyFill="1" applyBorder="1" applyAlignment="1">
      <alignment horizontal="center" vertical="center" wrapText="1"/>
    </xf>
    <xf numFmtId="0" fontId="7" fillId="5" borderId="15" xfId="2" applyFont="1" applyFill="1" applyBorder="1" applyAlignment="1">
      <alignment horizontal="center" vertical="center" wrapText="1"/>
    </xf>
    <xf numFmtId="0" fontId="7" fillId="5" borderId="16" xfId="2" applyFont="1" applyFill="1" applyBorder="1" applyAlignment="1">
      <alignment horizontal="center" vertical="center" wrapText="1"/>
    </xf>
    <xf numFmtId="0" fontId="7" fillId="5" borderId="17" xfId="2" applyFont="1" applyFill="1" applyBorder="1" applyAlignment="1">
      <alignment horizontal="center" vertical="center" wrapText="1"/>
    </xf>
    <xf numFmtId="0" fontId="7" fillId="5" borderId="18" xfId="2" applyFont="1" applyFill="1" applyBorder="1" applyAlignment="1">
      <alignment horizontal="center" vertical="center" wrapText="1"/>
    </xf>
    <xf numFmtId="0" fontId="7" fillId="5" borderId="19" xfId="2" applyFont="1" applyFill="1" applyBorder="1" applyAlignment="1">
      <alignment horizontal="center" vertical="center" wrapText="1"/>
    </xf>
    <xf numFmtId="0" fontId="7" fillId="5" borderId="20" xfId="2" applyFont="1" applyFill="1" applyBorder="1" applyAlignment="1">
      <alignment horizontal="center" vertical="center" wrapText="1"/>
    </xf>
    <xf numFmtId="0" fontId="7" fillId="5" borderId="0" xfId="2" applyFont="1" applyFill="1" applyAlignment="1">
      <alignment horizontal="center" vertical="center" wrapText="1"/>
    </xf>
    <xf numFmtId="0" fontId="7" fillId="5" borderId="21" xfId="2" applyFont="1" applyFill="1" applyBorder="1" applyAlignment="1">
      <alignment horizontal="center" vertical="center" wrapText="1"/>
    </xf>
    <xf numFmtId="0" fontId="7" fillId="5" borderId="22" xfId="2" applyFont="1" applyFill="1" applyBorder="1" applyAlignment="1">
      <alignment horizontal="center" vertical="center" wrapText="1"/>
    </xf>
    <xf numFmtId="0" fontId="7" fillId="5" borderId="23" xfId="2" applyFont="1" applyFill="1" applyBorder="1" applyAlignment="1">
      <alignment horizontal="center" vertical="center" wrapText="1"/>
    </xf>
    <xf numFmtId="0" fontId="7" fillId="5" borderId="24" xfId="2" applyFont="1" applyFill="1" applyBorder="1" applyAlignment="1">
      <alignment horizontal="center" vertical="center" wrapText="1"/>
    </xf>
    <xf numFmtId="0" fontId="7" fillId="5" borderId="25" xfId="2" applyFont="1" applyFill="1" applyBorder="1" applyAlignment="1">
      <alignment horizontal="center" vertical="center" wrapText="1"/>
    </xf>
    <xf numFmtId="0" fontId="7" fillId="5" borderId="26" xfId="2" applyFont="1" applyFill="1" applyBorder="1" applyAlignment="1">
      <alignment horizontal="center" vertical="center" wrapText="1"/>
    </xf>
    <xf numFmtId="0" fontId="7" fillId="5" borderId="27" xfId="2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7" fillId="5" borderId="29" xfId="1" applyFont="1" applyFill="1" applyBorder="1" applyAlignment="1">
      <alignment horizontal="center" vertical="center" wrapText="1"/>
    </xf>
    <xf numFmtId="0" fontId="7" fillId="5" borderId="15" xfId="1" applyFont="1" applyFill="1" applyBorder="1" applyAlignment="1">
      <alignment horizontal="center" vertical="center" wrapText="1"/>
    </xf>
    <xf numFmtId="0" fontId="7" fillId="5" borderId="14" xfId="1" applyFont="1" applyFill="1" applyBorder="1" applyAlignment="1">
      <alignment horizontal="center" vertical="center" wrapText="1"/>
    </xf>
    <xf numFmtId="0" fontId="7" fillId="5" borderId="19" xfId="1" applyFont="1" applyFill="1" applyBorder="1" applyAlignment="1">
      <alignment horizontal="center" vertical="center" wrapText="1"/>
    </xf>
    <xf numFmtId="0" fontId="7" fillId="5" borderId="13" xfId="1" applyFont="1" applyFill="1" applyBorder="1" applyAlignment="1">
      <alignment horizontal="center" vertical="center" wrapText="1"/>
    </xf>
    <xf numFmtId="0" fontId="7" fillId="5" borderId="22" xfId="1" applyFont="1" applyFill="1" applyBorder="1" applyAlignment="1">
      <alignment horizontal="center" vertical="center" wrapText="1"/>
    </xf>
    <xf numFmtId="0" fontId="7" fillId="5" borderId="18" xfId="1" applyFont="1" applyFill="1" applyBorder="1" applyAlignment="1">
      <alignment horizontal="center" vertical="center" wrapText="1"/>
    </xf>
    <xf numFmtId="0" fontId="7" fillId="5" borderId="17" xfId="1" applyFont="1" applyFill="1" applyBorder="1" applyAlignment="1">
      <alignment horizontal="center" vertical="center" wrapText="1"/>
    </xf>
    <xf numFmtId="0" fontId="7" fillId="5" borderId="30" xfId="1" applyFont="1" applyFill="1" applyBorder="1" applyAlignment="1">
      <alignment horizontal="center" vertical="center" wrapText="1"/>
    </xf>
    <xf numFmtId="0" fontId="7" fillId="5" borderId="31" xfId="1" applyFont="1" applyFill="1" applyBorder="1" applyAlignment="1">
      <alignment horizontal="center" vertical="center" wrapText="1"/>
    </xf>
    <xf numFmtId="0" fontId="7" fillId="5" borderId="24" xfId="1" applyFont="1" applyFill="1" applyBorder="1" applyAlignment="1">
      <alignment horizontal="center" vertical="center" wrapText="1"/>
    </xf>
    <xf numFmtId="0" fontId="7" fillId="5" borderId="21" xfId="1" applyFont="1" applyFill="1" applyBorder="1" applyAlignment="1">
      <alignment horizontal="center" vertical="center" wrapText="1"/>
    </xf>
    <xf numFmtId="0" fontId="7" fillId="5" borderId="32" xfId="1" applyFont="1" applyFill="1" applyBorder="1" applyAlignment="1">
      <alignment horizontal="center" vertical="center" wrapText="1"/>
    </xf>
    <xf numFmtId="0" fontId="7" fillId="5" borderId="33" xfId="1" applyFont="1" applyFill="1" applyBorder="1" applyAlignment="1">
      <alignment horizontal="center" vertical="center" wrapText="1"/>
    </xf>
    <xf numFmtId="0" fontId="7" fillId="5" borderId="20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/>
    </xf>
    <xf numFmtId="0" fontId="6" fillId="4" borderId="35" xfId="1" applyFont="1" applyFill="1" applyBorder="1" applyAlignment="1">
      <alignment horizontal="center" vertical="center"/>
    </xf>
    <xf numFmtId="0" fontId="4" fillId="4" borderId="34" xfId="1" applyFont="1" applyFill="1" applyBorder="1" applyAlignment="1">
      <alignment horizontal="center" vertical="center" wrapText="1"/>
    </xf>
    <xf numFmtId="0" fontId="7" fillId="5" borderId="36" xfId="1" applyFont="1" applyFill="1" applyBorder="1" applyAlignment="1">
      <alignment horizontal="center" vertical="center" wrapText="1"/>
    </xf>
    <xf numFmtId="0" fontId="7" fillId="5" borderId="37" xfId="1" applyFont="1" applyFill="1" applyBorder="1" applyAlignment="1">
      <alignment horizontal="center" vertical="center" wrapText="1"/>
    </xf>
    <xf numFmtId="0" fontId="7" fillId="5" borderId="38" xfId="1" applyFont="1" applyFill="1" applyBorder="1" applyAlignment="1">
      <alignment horizontal="center" vertical="center" wrapText="1"/>
    </xf>
    <xf numFmtId="0" fontId="7" fillId="5" borderId="39" xfId="1" applyFont="1" applyFill="1" applyBorder="1" applyAlignment="1">
      <alignment horizontal="center" vertical="center" wrapText="1"/>
    </xf>
    <xf numFmtId="0" fontId="7" fillId="5" borderId="40" xfId="1" applyFont="1" applyFill="1" applyBorder="1" applyAlignment="1">
      <alignment horizontal="center" vertical="center" wrapText="1"/>
    </xf>
    <xf numFmtId="0" fontId="7" fillId="5" borderId="41" xfId="1" applyFont="1" applyFill="1" applyBorder="1" applyAlignment="1">
      <alignment horizontal="center" vertical="center" wrapText="1"/>
    </xf>
    <xf numFmtId="0" fontId="2" fillId="0" borderId="0" xfId="1" applyFont="1" applyAlignment="1" applyProtection="1">
      <alignment horizontal="right"/>
      <protection locked="0"/>
    </xf>
    <xf numFmtId="0" fontId="2" fillId="2" borderId="0" xfId="1" applyFont="1" applyFill="1" applyAlignment="1">
      <alignment horizontal="right"/>
    </xf>
    <xf numFmtId="0" fontId="6" fillId="4" borderId="42" xfId="3" applyFont="1" applyFill="1" applyBorder="1" applyAlignment="1">
      <alignment horizontal="left" vertical="center"/>
    </xf>
    <xf numFmtId="0" fontId="10" fillId="5" borderId="43" xfId="3" applyFont="1" applyFill="1" applyBorder="1" applyAlignment="1">
      <alignment horizontal="left" vertical="center"/>
    </xf>
    <xf numFmtId="1" fontId="4" fillId="5" borderId="44" xfId="1" applyNumberFormat="1" applyFont="1" applyFill="1" applyBorder="1" applyAlignment="1">
      <alignment horizontal="center" vertical="center"/>
    </xf>
    <xf numFmtId="1" fontId="4" fillId="5" borderId="11" xfId="1" applyNumberFormat="1" applyFont="1" applyFill="1" applyBorder="1" applyAlignment="1">
      <alignment horizontal="center"/>
    </xf>
    <xf numFmtId="1" fontId="4" fillId="5" borderId="12" xfId="1" applyNumberFormat="1" applyFont="1" applyFill="1" applyBorder="1" applyAlignment="1">
      <alignment horizontal="center"/>
    </xf>
    <xf numFmtId="1" fontId="4" fillId="5" borderId="13" xfId="1" applyNumberFormat="1" applyFont="1" applyFill="1" applyBorder="1" applyAlignment="1">
      <alignment horizontal="center"/>
    </xf>
    <xf numFmtId="1" fontId="4" fillId="5" borderId="45" xfId="1" applyNumberFormat="1" applyFont="1" applyFill="1" applyBorder="1" applyAlignment="1">
      <alignment horizontal="center"/>
    </xf>
    <xf numFmtId="0" fontId="4" fillId="4" borderId="11" xfId="3" applyFont="1" applyFill="1" applyBorder="1" applyAlignment="1">
      <alignment horizontal="left" vertical="center"/>
    </xf>
    <xf numFmtId="0" fontId="11" fillId="5" borderId="46" xfId="3" applyFont="1" applyFill="1" applyBorder="1" applyAlignment="1">
      <alignment horizontal="left" vertical="center"/>
    </xf>
    <xf numFmtId="1" fontId="4" fillId="5" borderId="47" xfId="1" applyNumberFormat="1" applyFont="1" applyFill="1" applyBorder="1" applyAlignment="1">
      <alignment horizontal="center" vertical="center"/>
    </xf>
    <xf numFmtId="1" fontId="4" fillId="5" borderId="11" xfId="1" applyNumberFormat="1" applyFont="1" applyFill="1" applyBorder="1" applyAlignment="1">
      <alignment horizontal="right"/>
    </xf>
    <xf numFmtId="1" fontId="4" fillId="5" borderId="12" xfId="1" applyNumberFormat="1" applyFont="1" applyFill="1" applyBorder="1" applyAlignment="1">
      <alignment horizontal="right"/>
    </xf>
    <xf numFmtId="1" fontId="4" fillId="5" borderId="13" xfId="1" applyNumberFormat="1" applyFont="1" applyFill="1" applyBorder="1" applyAlignment="1">
      <alignment horizontal="right"/>
    </xf>
    <xf numFmtId="1" fontId="4" fillId="0" borderId="11" xfId="1" applyNumberFormat="1" applyFont="1" applyBorder="1" applyAlignment="1" applyProtection="1">
      <alignment horizontal="right"/>
      <protection locked="0"/>
    </xf>
    <xf numFmtId="1" fontId="4" fillId="0" borderId="12" xfId="1" applyNumberFormat="1" applyFont="1" applyBorder="1" applyAlignment="1" applyProtection="1">
      <alignment horizontal="right"/>
      <protection locked="0"/>
    </xf>
    <xf numFmtId="1" fontId="4" fillId="0" borderId="13" xfId="1" applyNumberFormat="1" applyFont="1" applyBorder="1" applyAlignment="1" applyProtection="1">
      <alignment horizontal="right"/>
      <protection locked="0"/>
    </xf>
    <xf numFmtId="1" fontId="4" fillId="0" borderId="48" xfId="1" applyNumberFormat="1" applyFont="1" applyBorder="1" applyAlignment="1" applyProtection="1">
      <alignment horizontal="right"/>
      <protection locked="0"/>
    </xf>
    <xf numFmtId="1" fontId="4" fillId="0" borderId="49" xfId="1" applyNumberFormat="1" applyFont="1" applyBorder="1" applyAlignment="1" applyProtection="1">
      <alignment horizontal="right"/>
      <protection locked="0"/>
    </xf>
    <xf numFmtId="0" fontId="4" fillId="5" borderId="11" xfId="3" applyFont="1" applyFill="1" applyBorder="1" applyAlignment="1" applyProtection="1">
      <alignment horizontal="left" vertical="center"/>
      <protection locked="0"/>
    </xf>
    <xf numFmtId="0" fontId="11" fillId="5" borderId="48" xfId="3" applyFont="1" applyFill="1" applyBorder="1" applyAlignment="1" applyProtection="1">
      <alignment horizontal="left" vertical="center"/>
      <protection locked="0"/>
    </xf>
    <xf numFmtId="0" fontId="4" fillId="5" borderId="11" xfId="3" applyFont="1" applyFill="1" applyBorder="1" applyAlignment="1">
      <alignment horizontal="left" vertical="center"/>
    </xf>
    <xf numFmtId="0" fontId="6" fillId="4" borderId="11" xfId="3" applyFont="1" applyFill="1" applyBorder="1" applyAlignment="1">
      <alignment horizontal="left" vertical="center"/>
    </xf>
    <xf numFmtId="0" fontId="10" fillId="5" borderId="46" xfId="3" applyFont="1" applyFill="1" applyBorder="1" applyAlignment="1">
      <alignment horizontal="left" vertical="center"/>
    </xf>
    <xf numFmtId="1" fontId="4" fillId="5" borderId="11" xfId="1" applyNumberFormat="1" applyFont="1" applyFill="1" applyBorder="1" applyAlignment="1">
      <alignment horizontal="center" vertical="center"/>
    </xf>
    <xf numFmtId="1" fontId="4" fillId="5" borderId="12" xfId="1" applyNumberFormat="1" applyFont="1" applyFill="1" applyBorder="1" applyAlignment="1">
      <alignment horizontal="center" vertical="center"/>
    </xf>
    <xf numFmtId="1" fontId="4" fillId="5" borderId="13" xfId="1" applyNumberFormat="1" applyFont="1" applyFill="1" applyBorder="1" applyAlignment="1">
      <alignment horizontal="center" vertical="center"/>
    </xf>
    <xf numFmtId="1" fontId="4" fillId="4" borderId="11" xfId="1" applyNumberFormat="1" applyFont="1" applyFill="1" applyBorder="1" applyAlignment="1">
      <alignment horizontal="center" vertical="center"/>
    </xf>
    <xf numFmtId="1" fontId="4" fillId="4" borderId="12" xfId="1" applyNumberFormat="1" applyFont="1" applyFill="1" applyBorder="1" applyAlignment="1">
      <alignment horizontal="center" vertical="center"/>
    </xf>
    <xf numFmtId="1" fontId="4" fillId="4" borderId="13" xfId="1" applyNumberFormat="1" applyFont="1" applyFill="1" applyBorder="1" applyAlignment="1">
      <alignment horizontal="center" vertical="center"/>
    </xf>
    <xf numFmtId="1" fontId="4" fillId="5" borderId="45" xfId="1" applyNumberFormat="1" applyFont="1" applyFill="1" applyBorder="1" applyAlignment="1">
      <alignment horizontal="center" vertical="center"/>
    </xf>
    <xf numFmtId="0" fontId="11" fillId="5" borderId="13" xfId="3" applyFont="1" applyFill="1" applyBorder="1" applyAlignment="1">
      <alignment horizontal="left" vertical="center" wrapText="1"/>
    </xf>
    <xf numFmtId="0" fontId="4" fillId="5" borderId="46" xfId="3" applyFont="1" applyFill="1" applyBorder="1" applyAlignment="1">
      <alignment horizontal="left" vertical="center"/>
    </xf>
    <xf numFmtId="0" fontId="10" fillId="5" borderId="46" xfId="3" applyFont="1" applyFill="1" applyBorder="1" applyAlignment="1">
      <alignment horizontal="left" vertical="center" wrapText="1"/>
    </xf>
    <xf numFmtId="0" fontId="11" fillId="5" borderId="48" xfId="3" applyFont="1" applyFill="1" applyBorder="1" applyAlignment="1">
      <alignment horizontal="left" vertical="center"/>
    </xf>
    <xf numFmtId="1" fontId="4" fillId="5" borderId="47" xfId="3" applyNumberFormat="1" applyFont="1" applyFill="1" applyBorder="1" applyAlignment="1">
      <alignment horizontal="center" vertical="center"/>
    </xf>
    <xf numFmtId="0" fontId="10" fillId="4" borderId="11" xfId="3" applyFont="1" applyFill="1" applyBorder="1" applyAlignment="1">
      <alignment horizontal="left" vertical="center" wrapText="1"/>
    </xf>
    <xf numFmtId="0" fontId="11" fillId="4" borderId="11" xfId="3" applyFont="1" applyFill="1" applyBorder="1" applyAlignment="1">
      <alignment horizontal="left" vertical="center" wrapText="1"/>
    </xf>
    <xf numFmtId="0" fontId="11" fillId="5" borderId="48" xfId="3" applyFont="1" applyFill="1" applyBorder="1" applyAlignment="1">
      <alignment horizontal="left" vertical="center" wrapText="1"/>
    </xf>
    <xf numFmtId="0" fontId="11" fillId="5" borderId="46" xfId="3" applyFont="1" applyFill="1" applyBorder="1" applyAlignment="1">
      <alignment horizontal="left" vertical="center" wrapText="1"/>
    </xf>
    <xf numFmtId="0" fontId="6" fillId="5" borderId="46" xfId="3" applyFont="1" applyFill="1" applyBorder="1" applyAlignment="1">
      <alignment horizontal="left" vertical="center"/>
    </xf>
    <xf numFmtId="0" fontId="4" fillId="4" borderId="11" xfId="3" applyFont="1" applyFill="1" applyBorder="1" applyAlignment="1">
      <alignment horizontal="left" vertical="center" wrapText="1"/>
    </xf>
    <xf numFmtId="0" fontId="4" fillId="5" borderId="46" xfId="3" applyFont="1" applyFill="1" applyBorder="1" applyAlignment="1">
      <alignment horizontal="left" vertical="center" wrapText="1"/>
    </xf>
    <xf numFmtId="0" fontId="11" fillId="5" borderId="11" xfId="3" applyFont="1" applyFill="1" applyBorder="1" applyAlignment="1">
      <alignment horizontal="left" vertical="center" wrapText="1"/>
    </xf>
    <xf numFmtId="0" fontId="11" fillId="4" borderId="11" xfId="3" applyFont="1" applyFill="1" applyBorder="1" applyAlignment="1">
      <alignment horizontal="left" vertical="top" wrapText="1"/>
    </xf>
    <xf numFmtId="1" fontId="4" fillId="5" borderId="13" xfId="1" applyNumberFormat="1" applyFont="1" applyFill="1" applyBorder="1"/>
    <xf numFmtId="1" fontId="4" fillId="0" borderId="13" xfId="1" applyNumberFormat="1" applyFont="1" applyBorder="1" applyProtection="1">
      <protection locked="0"/>
    </xf>
    <xf numFmtId="1" fontId="4" fillId="0" borderId="48" xfId="1" applyNumberFormat="1" applyFont="1" applyBorder="1" applyProtection="1">
      <protection locked="0"/>
    </xf>
    <xf numFmtId="1" fontId="4" fillId="0" borderId="11" xfId="1" applyNumberFormat="1" applyFont="1" applyBorder="1" applyProtection="1">
      <protection locked="0"/>
    </xf>
    <xf numFmtId="1" fontId="4" fillId="0" borderId="12" xfId="1" applyNumberFormat="1" applyFont="1" applyBorder="1" applyProtection="1">
      <protection locked="0"/>
    </xf>
    <xf numFmtId="1" fontId="4" fillId="0" borderId="49" xfId="1" applyNumberFormat="1" applyFont="1" applyBorder="1" applyProtection="1">
      <protection locked="0"/>
    </xf>
    <xf numFmtId="1" fontId="4" fillId="5" borderId="11" xfId="1" applyNumberFormat="1" applyFont="1" applyFill="1" applyBorder="1"/>
    <xf numFmtId="1" fontId="4" fillId="5" borderId="12" xfId="1" applyNumberFormat="1" applyFont="1" applyFill="1" applyBorder="1"/>
    <xf numFmtId="0" fontId="11" fillId="4" borderId="32" xfId="3" applyFont="1" applyFill="1" applyBorder="1" applyAlignment="1">
      <alignment horizontal="left" vertical="center" wrapText="1"/>
    </xf>
    <xf numFmtId="0" fontId="11" fillId="5" borderId="16" xfId="3" applyFont="1" applyFill="1" applyBorder="1" applyAlignment="1">
      <alignment horizontal="left" vertical="center" wrapText="1"/>
    </xf>
    <xf numFmtId="1" fontId="4" fillId="5" borderId="32" xfId="1" applyNumberFormat="1" applyFont="1" applyFill="1" applyBorder="1" applyAlignment="1">
      <alignment horizontal="right"/>
    </xf>
    <xf numFmtId="1" fontId="4" fillId="5" borderId="29" xfId="1" applyNumberFormat="1" applyFont="1" applyFill="1" applyBorder="1" applyAlignment="1">
      <alignment horizontal="right"/>
    </xf>
    <xf numFmtId="1" fontId="4" fillId="5" borderId="14" xfId="1" applyNumberFormat="1" applyFont="1" applyFill="1" applyBorder="1" applyAlignment="1">
      <alignment horizontal="right"/>
    </xf>
    <xf numFmtId="0" fontId="6" fillId="4" borderId="50" xfId="1" applyFont="1" applyFill="1" applyBorder="1" applyAlignment="1">
      <alignment horizontal="right"/>
    </xf>
    <xf numFmtId="0" fontId="6" fillId="4" borderId="51" xfId="1" applyFont="1" applyFill="1" applyBorder="1" applyAlignment="1">
      <alignment horizontal="right"/>
    </xf>
    <xf numFmtId="1" fontId="4" fillId="5" borderId="52" xfId="1" applyNumberFormat="1" applyFont="1" applyFill="1" applyBorder="1" applyAlignment="1">
      <alignment horizontal="center" vertical="center"/>
    </xf>
    <xf numFmtId="1" fontId="4" fillId="5" borderId="53" xfId="1" applyNumberFormat="1" applyFont="1" applyFill="1" applyBorder="1" applyAlignment="1">
      <alignment horizontal="center" vertical="center"/>
    </xf>
    <xf numFmtId="1" fontId="4" fillId="5" borderId="54" xfId="1" applyNumberFormat="1" applyFont="1" applyFill="1" applyBorder="1" applyAlignment="1">
      <alignment horizontal="center" vertical="center"/>
    </xf>
    <xf numFmtId="1" fontId="4" fillId="4" borderId="55" xfId="1" applyNumberFormat="1" applyFont="1" applyFill="1" applyBorder="1" applyAlignment="1">
      <alignment horizontal="center" vertical="center"/>
    </xf>
    <xf numFmtId="1" fontId="4" fillId="4" borderId="53" xfId="1" applyNumberFormat="1" applyFont="1" applyFill="1" applyBorder="1" applyAlignment="1">
      <alignment horizontal="center" vertical="center"/>
    </xf>
    <xf numFmtId="1" fontId="4" fillId="4" borderId="54" xfId="1" applyNumberFormat="1" applyFont="1" applyFill="1" applyBorder="1" applyAlignment="1">
      <alignment horizontal="center" vertical="center"/>
    </xf>
    <xf numFmtId="1" fontId="4" fillId="5" borderId="56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wrapText="1"/>
    </xf>
    <xf numFmtId="0" fontId="2" fillId="0" borderId="0" xfId="1" applyFont="1"/>
    <xf numFmtId="0" fontId="4" fillId="2" borderId="0" xfId="1" applyFont="1" applyFill="1" applyAlignment="1">
      <alignment horizontal="left"/>
    </xf>
  </cellXfs>
  <cellStyles count="4">
    <cellStyle name="Normal" xfId="0" builtinId="0"/>
    <cellStyle name="Normal 2" xfId="1" xr:uid="{C65AC9A1-FCFD-42B9-B1E8-CB0E5898EAF9}"/>
    <cellStyle name="Normal 2 3 2 3" xfId="2" xr:uid="{68C3A079-C3DB-426C-97F5-AAA8A15AA751}"/>
    <cellStyle name="Paprastas 2" xfId="3" xr:uid="{495506BB-CB7C-421F-A3B6-930B285C4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lcininkust-my.sharepoint.com/personal/elena_pumputiene_salcininkust_lt/Documents/RAS/2025/auditui/Metinis%20ataskait&#371;%20rinkinys%20(&#353;ilumos%20sektorius)%20(3).xlsx" TargetMode="External"/><Relationship Id="rId1" Type="http://schemas.openxmlformats.org/officeDocument/2006/relationships/externalLinkPath" Target="auditui/Metinis%20ataskait&#371;%20rinkinys%20(&#353;ilumos%20sektorius)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 15"/>
      <sheetName val="Forma 1"/>
      <sheetName val="Forma 2"/>
      <sheetName val="Forma 3"/>
      <sheetName val="Forma 4"/>
      <sheetName val="Forma 5"/>
      <sheetName val="Forma 6"/>
      <sheetName val="Forma 8"/>
      <sheetName val="Forma 7"/>
      <sheetName val="Forma 9"/>
      <sheetName val="Forma 10"/>
      <sheetName val="Forma 11"/>
      <sheetName val="Forma 12"/>
      <sheetName val="Forma 13"/>
      <sheetName val="Instrukcija"/>
      <sheetName val="Rodikliai"/>
    </sheetNames>
    <sheetDataSet>
      <sheetData sheetId="0"/>
      <sheetData sheetId="1"/>
      <sheetData sheetId="2">
        <row r="19">
          <cell r="C19" t="str">
            <v>Kitos sąnaudos, susijusios su šilumos įsigijimu (nurodyti)</v>
          </cell>
        </row>
        <row r="36">
          <cell r="C36" t="str">
            <v>Kitos kuro rūšies (nurodyti) įsigijimo sąnaudos</v>
          </cell>
        </row>
        <row r="37">
          <cell r="C37" t="str">
            <v>Kitos kuro rūšies (nurodyti) įsigijimo sąnaudos</v>
          </cell>
        </row>
        <row r="38">
          <cell r="C38" t="str">
            <v>Kitos kuro rūšies (nurodyti) įsigijimo sąnaudos</v>
          </cell>
        </row>
        <row r="39">
          <cell r="C39" t="str">
            <v>Kitos sąnaudos, susijusios su kuro įsigijimu (nurodyti)</v>
          </cell>
        </row>
        <row r="42">
          <cell r="C42" t="str">
            <v>Kitos sąnaudos, susijusios su elektros energijos TR įsigijimu (nurodyti)</v>
          </cell>
        </row>
        <row r="46">
          <cell r="C46" t="str">
            <v>Kitos sąnaudos, susijusios su vandens TR įsigijimu (nurodyti)</v>
          </cell>
        </row>
        <row r="49">
          <cell r="C49" t="str">
            <v>Kitos sąnaudos, susijusios su ATL įsigijimu (nurodyti)</v>
          </cell>
        </row>
        <row r="50">
          <cell r="C50" t="str">
            <v>Kitos sąnaudos, susijusios su ATL įsigijimu (nurodyti)</v>
          </cell>
        </row>
        <row r="57">
          <cell r="C57" t="str">
            <v>Kitos kintamosios sąnaudos (nurodyti)</v>
          </cell>
        </row>
        <row r="58">
          <cell r="C58" t="str">
            <v>Kitos kintamosios sąnaudos (nurodyti)</v>
          </cell>
        </row>
        <row r="109">
          <cell r="C109" t="str">
            <v>Kitos einamojo remonto ir aptarnavimo sąnaudos (smulkaus remonto sąnaudos)</v>
          </cell>
        </row>
        <row r="110">
          <cell r="C110" t="str">
            <v>Kitos einamojo remonto ir aptarnavimo sąnaudos (nurodyti)</v>
          </cell>
        </row>
        <row r="111">
          <cell r="C111" t="str">
            <v>Kitos einamojo remonto ir aptarnavimo sąnaudos (nurodyti)</v>
          </cell>
        </row>
        <row r="112">
          <cell r="C112" t="str">
            <v>Kitos einamojo remonto ir aptarnavimo sąnaudos (nurodyti)</v>
          </cell>
        </row>
        <row r="113">
          <cell r="C113" t="str">
            <v>Kitos einamojo remonto ir aptarnavimo sąnaudos (nurodyti)</v>
          </cell>
        </row>
        <row r="123">
          <cell r="C123" t="str">
            <v>Kitos su personalu susijusios sąnaudos (med. apžiūros sąnaudos)</v>
          </cell>
        </row>
        <row r="124">
          <cell r="C124" t="str">
            <v>Kitos su personalu susijusios sąnaudos (nurodyti)</v>
          </cell>
        </row>
        <row r="125">
          <cell r="C125" t="str">
            <v>Kitos su personalu susijusios sąnaudos (nurodyti)</v>
          </cell>
        </row>
        <row r="126">
          <cell r="C126" t="str">
            <v>Kitos su personalu susijusios sąnaudos (nurodyti)</v>
          </cell>
        </row>
        <row r="134">
          <cell r="C134" t="str">
            <v>Kitų mokesčių valstybei sąnaudos (atestatų pratęsimo sąnaudos - 328 eur, neatskaitomo PVM sąnaudos - 305 eur)</v>
          </cell>
        </row>
        <row r="139">
          <cell r="C139" t="str">
            <v>Kitos finansinės sąnaudos (nurodyti)</v>
          </cell>
        </row>
        <row r="140">
          <cell r="C140" t="str">
            <v>Kitos finansinės sąnaudos (nurodyti)</v>
          </cell>
        </row>
        <row r="151">
          <cell r="C151" t="str">
            <v>Kitos administravimo sąnaudos (darbų saugos tarnybos funkcijų vykdymas)</v>
          </cell>
        </row>
        <row r="152">
          <cell r="C152" t="str">
            <v>Kitos administravimo sąnaudos (geriamojo vandens nuoma)</v>
          </cell>
        </row>
        <row r="153">
          <cell r="C153" t="str">
            <v>Kitos administravimo sąnaudos (nurodyti)</v>
          </cell>
        </row>
        <row r="163">
          <cell r="C163" t="str">
            <v>Kitos rinkodaros, pardavimų sąnaudos (nurodyti)</v>
          </cell>
        </row>
        <row r="164">
          <cell r="C164" t="str">
            <v>Kitos rinkodaros, pardavimų sąnaudos (nurodyti)</v>
          </cell>
        </row>
        <row r="167">
          <cell r="C167" t="str">
            <v>Kitos sąnaudos, susijusios su šilumos ūkio turto nuoma, koncesija (nurodyti)</v>
          </cell>
        </row>
        <row r="183">
          <cell r="C183" t="str">
            <v>Kitos pastoviosios sąnaudos (abejotinų skolų sąnaudos)</v>
          </cell>
        </row>
        <row r="184">
          <cell r="C184" t="str">
            <v>Kitos pastoviosios sąnaudos (verslo dovanos)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9">
          <cell r="AC9" t="str">
            <v>CŠT sistema 1</v>
          </cell>
          <cell r="AV9" t="str">
            <v>CŠT sistema 2</v>
          </cell>
          <cell r="BO9" t="str">
            <v>CŠT sistema 3</v>
          </cell>
          <cell r="CH9" t="str">
            <v>CŠT sistema 4</v>
          </cell>
          <cell r="DA9" t="str">
            <v>CŠT sistema 5</v>
          </cell>
          <cell r="DT9" t="str">
            <v>CŠT sistema 6</v>
          </cell>
          <cell r="EM9" t="str">
            <v>CŠT sistema 7</v>
          </cell>
        </row>
        <row r="13">
          <cell r="I13" t="str">
            <v xml:space="preserve">... paslauga (produktas) </v>
          </cell>
          <cell r="L13" t="str">
            <v xml:space="preserve">... paslauga (produktas) </v>
          </cell>
          <cell r="M13" t="str">
            <v xml:space="preserve">... paslauga (produktas) </v>
          </cell>
          <cell r="Q13" t="str">
            <v xml:space="preserve">... paslauga (produktas) </v>
          </cell>
          <cell r="R13" t="str">
            <v xml:space="preserve">... paslauga (produktas) </v>
          </cell>
          <cell r="U13" t="str">
            <v xml:space="preserve">... paslauga (produktas) </v>
          </cell>
          <cell r="V13" t="str">
            <v xml:space="preserve">... paslauga (produktas) </v>
          </cell>
          <cell r="Y13" t="str">
            <v xml:space="preserve">... paslauga (produktas) </v>
          </cell>
          <cell r="AB13" t="str">
            <v xml:space="preserve">... paslauga (produktas) </v>
          </cell>
          <cell r="AG13" t="str">
            <v xml:space="preserve">... paslauga (produktas) </v>
          </cell>
          <cell r="AJ13" t="str">
            <v xml:space="preserve">... paslauga (produktas) </v>
          </cell>
          <cell r="AK13" t="str">
            <v xml:space="preserve">... paslauga (produktas) </v>
          </cell>
          <cell r="AO13" t="str">
            <v xml:space="preserve">... paslauga (produktas) </v>
          </cell>
          <cell r="AP13" t="str">
            <v xml:space="preserve">... paslauga (produktas) </v>
          </cell>
          <cell r="AS13" t="str">
            <v xml:space="preserve">... paslauga (produktas) </v>
          </cell>
          <cell r="AT13" t="str">
            <v xml:space="preserve">... paslauga (produktas) </v>
          </cell>
          <cell r="AZ13" t="str">
            <v xml:space="preserve">... paslauga (produktas) </v>
          </cell>
          <cell r="BC13" t="str">
            <v xml:space="preserve">... paslauga (produktas) </v>
          </cell>
          <cell r="BD13" t="str">
            <v xml:space="preserve">... paslauga (produktas) </v>
          </cell>
          <cell r="BH13" t="str">
            <v xml:space="preserve">... paslauga (produktas) </v>
          </cell>
          <cell r="BI13" t="str">
            <v xml:space="preserve">... paslauga (produktas) </v>
          </cell>
          <cell r="BL13" t="str">
            <v xml:space="preserve">... paslauga (produktas) </v>
          </cell>
          <cell r="BM13" t="str">
            <v xml:space="preserve">... paslauga (produktas) </v>
          </cell>
          <cell r="BS13" t="str">
            <v xml:space="preserve">... paslauga (produktas) </v>
          </cell>
          <cell r="BV13" t="str">
            <v xml:space="preserve">... paslauga (produktas) </v>
          </cell>
          <cell r="BW13" t="str">
            <v xml:space="preserve">... paslauga (produktas) </v>
          </cell>
          <cell r="CA13" t="str">
            <v xml:space="preserve">... paslauga (produktas) </v>
          </cell>
          <cell r="CB13" t="str">
            <v xml:space="preserve">... paslauga (produktas) </v>
          </cell>
          <cell r="CE13" t="str">
            <v xml:space="preserve">... paslauga (produktas) </v>
          </cell>
          <cell r="CF13" t="str">
            <v xml:space="preserve">... paslauga (produktas) </v>
          </cell>
          <cell r="CL13" t="str">
            <v xml:space="preserve">... paslauga (produktas) </v>
          </cell>
          <cell r="CO13" t="str">
            <v xml:space="preserve">... paslauga (produktas) </v>
          </cell>
          <cell r="CP13" t="str">
            <v xml:space="preserve">... paslauga (produktas) </v>
          </cell>
          <cell r="CT13" t="str">
            <v xml:space="preserve">... paslauga (produktas) </v>
          </cell>
          <cell r="CU13" t="str">
            <v xml:space="preserve">... paslauga (produktas) </v>
          </cell>
          <cell r="CX13" t="str">
            <v xml:space="preserve">... paslauga (produktas) </v>
          </cell>
          <cell r="CY13" t="str">
            <v xml:space="preserve">... paslauga (produktas) </v>
          </cell>
          <cell r="DE13" t="str">
            <v xml:space="preserve">... paslauga (produktas) </v>
          </cell>
          <cell r="DH13" t="str">
            <v xml:space="preserve">... paslauga (produktas) </v>
          </cell>
          <cell r="DI13" t="str">
            <v xml:space="preserve">... paslauga (produktas) </v>
          </cell>
          <cell r="DM13" t="str">
            <v xml:space="preserve">... paslauga (produktas) </v>
          </cell>
          <cell r="DN13" t="str">
            <v xml:space="preserve">... paslauga (produktas) </v>
          </cell>
          <cell r="DQ13" t="str">
            <v xml:space="preserve">... paslauga (produktas) </v>
          </cell>
          <cell r="DR13" t="str">
            <v xml:space="preserve">... paslauga (produktas) </v>
          </cell>
          <cell r="DX13" t="str">
            <v xml:space="preserve">... paslauga (produktas) </v>
          </cell>
          <cell r="EA13" t="str">
            <v xml:space="preserve">... paslauga (produktas) </v>
          </cell>
          <cell r="EB13" t="str">
            <v xml:space="preserve">... paslauga (produktas) </v>
          </cell>
          <cell r="EF13" t="str">
            <v xml:space="preserve">... paslauga (produktas) </v>
          </cell>
          <cell r="EG13" t="str">
            <v xml:space="preserve">... paslauga (produktas) </v>
          </cell>
          <cell r="EJ13" t="str">
            <v xml:space="preserve">... paslauga (produktas) </v>
          </cell>
          <cell r="EK13" t="str">
            <v xml:space="preserve">... paslauga (produktas) </v>
          </cell>
          <cell r="EQ13" t="str">
            <v xml:space="preserve">... paslauga (produktas) </v>
          </cell>
          <cell r="ET13" t="str">
            <v xml:space="preserve">... paslauga (produktas) </v>
          </cell>
          <cell r="EU13" t="str">
            <v xml:space="preserve">... paslauga (produktas) </v>
          </cell>
          <cell r="EY13" t="str">
            <v xml:space="preserve">... paslauga (produktas) </v>
          </cell>
          <cell r="EZ13" t="str">
            <v xml:space="preserve">... paslauga (produktas) </v>
          </cell>
          <cell r="FC13" t="str">
            <v xml:space="preserve">... paslauga (produktas) </v>
          </cell>
          <cell r="FD13" t="str">
            <v xml:space="preserve">... paslauga (produktas) </v>
          </cell>
        </row>
        <row r="109">
          <cell r="AB109">
            <v>130.07</v>
          </cell>
        </row>
        <row r="181">
          <cell r="AB181">
            <v>7252.33</v>
          </cell>
        </row>
      </sheetData>
      <sheetData sheetId="10">
        <row r="165">
          <cell r="AB165">
            <v>143.22</v>
          </cell>
        </row>
      </sheetData>
      <sheetData sheetId="11">
        <row r="24">
          <cell r="Z24">
            <v>0</v>
          </cell>
          <cell r="AC24">
            <v>0</v>
          </cell>
        </row>
        <row r="25">
          <cell r="Z25">
            <v>0</v>
          </cell>
          <cell r="AC25">
            <v>0</v>
          </cell>
        </row>
        <row r="26">
          <cell r="Z26">
            <v>0</v>
          </cell>
          <cell r="AC26">
            <v>0</v>
          </cell>
        </row>
        <row r="27">
          <cell r="Z27">
            <v>0</v>
          </cell>
          <cell r="AC27">
            <v>0</v>
          </cell>
        </row>
        <row r="28">
          <cell r="Z28">
            <v>0</v>
          </cell>
          <cell r="AC28">
            <v>0</v>
          </cell>
        </row>
        <row r="29">
          <cell r="Z29">
            <v>0</v>
          </cell>
          <cell r="AC29">
            <v>0</v>
          </cell>
        </row>
        <row r="31">
          <cell r="Z31">
            <v>0</v>
          </cell>
          <cell r="AC31">
            <v>0</v>
          </cell>
        </row>
        <row r="32">
          <cell r="Z32">
            <v>0</v>
          </cell>
          <cell r="AC32">
            <v>0</v>
          </cell>
        </row>
        <row r="33">
          <cell r="Z33">
            <v>0</v>
          </cell>
          <cell r="AC33">
            <v>0</v>
          </cell>
        </row>
        <row r="34">
          <cell r="Z34">
            <v>0</v>
          </cell>
          <cell r="AC34">
            <v>0</v>
          </cell>
        </row>
        <row r="35">
          <cell r="Z35">
            <v>0</v>
          </cell>
          <cell r="AC35">
            <v>0</v>
          </cell>
        </row>
        <row r="36">
          <cell r="Z36">
            <v>0</v>
          </cell>
          <cell r="AC36">
            <v>0</v>
          </cell>
        </row>
        <row r="37">
          <cell r="Z37">
            <v>0</v>
          </cell>
          <cell r="AC37">
            <v>0</v>
          </cell>
        </row>
        <row r="38">
          <cell r="Z38">
            <v>0</v>
          </cell>
          <cell r="AC38">
            <v>0</v>
          </cell>
        </row>
        <row r="39">
          <cell r="Z39">
            <v>0</v>
          </cell>
          <cell r="AC39">
            <v>0</v>
          </cell>
        </row>
        <row r="40">
          <cell r="Z40">
            <v>0</v>
          </cell>
          <cell r="AC40">
            <v>0</v>
          </cell>
        </row>
        <row r="41">
          <cell r="Z41">
            <v>0</v>
          </cell>
          <cell r="AC41">
            <v>0</v>
          </cell>
        </row>
        <row r="42">
          <cell r="Z42">
            <v>0</v>
          </cell>
          <cell r="AC42">
            <v>0</v>
          </cell>
        </row>
        <row r="43">
          <cell r="Z43">
            <v>0</v>
          </cell>
          <cell r="AC43">
            <v>0</v>
          </cell>
        </row>
        <row r="44">
          <cell r="Z44">
            <v>0</v>
          </cell>
          <cell r="AC44">
            <v>0</v>
          </cell>
        </row>
        <row r="45">
          <cell r="Z45">
            <v>0</v>
          </cell>
          <cell r="AC45">
            <v>0</v>
          </cell>
        </row>
        <row r="46">
          <cell r="Z46">
            <v>0</v>
          </cell>
          <cell r="AC46">
            <v>0</v>
          </cell>
        </row>
        <row r="47">
          <cell r="Z47">
            <v>0</v>
          </cell>
          <cell r="AC47">
            <v>0</v>
          </cell>
        </row>
        <row r="48">
          <cell r="Z48">
            <v>0</v>
          </cell>
          <cell r="AC48">
            <v>0</v>
          </cell>
        </row>
        <row r="49">
          <cell r="Z49">
            <v>0</v>
          </cell>
          <cell r="AC49">
            <v>0</v>
          </cell>
        </row>
        <row r="51">
          <cell r="Z51">
            <v>0</v>
          </cell>
          <cell r="AC51">
            <v>0</v>
          </cell>
        </row>
        <row r="52">
          <cell r="Z52">
            <v>0</v>
          </cell>
          <cell r="AC52">
            <v>0</v>
          </cell>
        </row>
        <row r="54">
          <cell r="Z54">
            <v>0</v>
          </cell>
          <cell r="AC54">
            <v>0</v>
          </cell>
        </row>
        <row r="55">
          <cell r="Z55">
            <v>0</v>
          </cell>
          <cell r="AC55">
            <v>0</v>
          </cell>
        </row>
        <row r="56">
          <cell r="Z56">
            <v>0</v>
          </cell>
          <cell r="AC56">
            <v>0</v>
          </cell>
        </row>
        <row r="58">
          <cell r="Z58">
            <v>0</v>
          </cell>
          <cell r="AC58">
            <v>0</v>
          </cell>
        </row>
        <row r="59">
          <cell r="Z59">
            <v>0</v>
          </cell>
          <cell r="AC59">
            <v>0</v>
          </cell>
        </row>
        <row r="60">
          <cell r="Z60">
            <v>0</v>
          </cell>
          <cell r="AC60">
            <v>0</v>
          </cell>
        </row>
        <row r="62">
          <cell r="Z62">
            <v>0</v>
          </cell>
          <cell r="AC62">
            <v>0</v>
          </cell>
        </row>
        <row r="63">
          <cell r="Z63">
            <v>0</v>
          </cell>
          <cell r="AC63">
            <v>0</v>
          </cell>
        </row>
        <row r="64">
          <cell r="Z64">
            <v>0</v>
          </cell>
          <cell r="AC64">
            <v>0</v>
          </cell>
        </row>
        <row r="65">
          <cell r="Z65">
            <v>0</v>
          </cell>
          <cell r="AC65">
            <v>0</v>
          </cell>
        </row>
        <row r="66">
          <cell r="Z66">
            <v>0</v>
          </cell>
          <cell r="AC66">
            <v>0</v>
          </cell>
        </row>
        <row r="67">
          <cell r="Z67">
            <v>0</v>
          </cell>
          <cell r="AC67">
            <v>0</v>
          </cell>
        </row>
        <row r="68">
          <cell r="Z68">
            <v>0</v>
          </cell>
          <cell r="AC68">
            <v>0</v>
          </cell>
        </row>
        <row r="70">
          <cell r="Z70">
            <v>0</v>
          </cell>
          <cell r="AC70">
            <v>0</v>
          </cell>
        </row>
        <row r="71">
          <cell r="Z71">
            <v>0</v>
          </cell>
          <cell r="AC71">
            <v>0</v>
          </cell>
        </row>
        <row r="72">
          <cell r="Z72">
            <v>0</v>
          </cell>
          <cell r="AC72">
            <v>0</v>
          </cell>
        </row>
        <row r="73">
          <cell r="Z73">
            <v>0</v>
          </cell>
          <cell r="AC73">
            <v>0</v>
          </cell>
        </row>
        <row r="74">
          <cell r="Z74">
            <v>0</v>
          </cell>
          <cell r="AC74">
            <v>0</v>
          </cell>
        </row>
        <row r="75">
          <cell r="Z75">
            <v>0</v>
          </cell>
          <cell r="AC75">
            <v>0</v>
          </cell>
        </row>
        <row r="76">
          <cell r="Z76">
            <v>0</v>
          </cell>
          <cell r="AC76">
            <v>0</v>
          </cell>
        </row>
        <row r="77">
          <cell r="Z77">
            <v>0</v>
          </cell>
          <cell r="AC77">
            <v>0</v>
          </cell>
        </row>
        <row r="78">
          <cell r="Z78">
            <v>0</v>
          </cell>
          <cell r="AC78">
            <v>0</v>
          </cell>
        </row>
        <row r="79">
          <cell r="Z79">
            <v>0</v>
          </cell>
          <cell r="AC79">
            <v>0</v>
          </cell>
        </row>
        <row r="80">
          <cell r="Z80">
            <v>0</v>
          </cell>
          <cell r="AC80">
            <v>0</v>
          </cell>
        </row>
        <row r="81">
          <cell r="Z81">
            <v>0</v>
          </cell>
          <cell r="AC81">
            <v>0</v>
          </cell>
        </row>
        <row r="82">
          <cell r="Z82">
            <v>0</v>
          </cell>
          <cell r="AC82">
            <v>0</v>
          </cell>
        </row>
        <row r="83">
          <cell r="Z83">
            <v>0</v>
          </cell>
          <cell r="AC83">
            <v>0</v>
          </cell>
        </row>
        <row r="84">
          <cell r="Z84">
            <v>0</v>
          </cell>
          <cell r="AC84">
            <v>0</v>
          </cell>
        </row>
        <row r="85">
          <cell r="Z85">
            <v>0</v>
          </cell>
          <cell r="AC85">
            <v>0</v>
          </cell>
        </row>
        <row r="86">
          <cell r="Z86">
            <v>0</v>
          </cell>
          <cell r="AC86">
            <v>0</v>
          </cell>
        </row>
        <row r="87">
          <cell r="Z87">
            <v>0</v>
          </cell>
          <cell r="AC87">
            <v>0</v>
          </cell>
        </row>
        <row r="88">
          <cell r="Z88">
            <v>0</v>
          </cell>
          <cell r="AC88">
            <v>0</v>
          </cell>
        </row>
        <row r="89">
          <cell r="Z89">
            <v>0</v>
          </cell>
          <cell r="AC89">
            <v>0</v>
          </cell>
        </row>
        <row r="90">
          <cell r="Z90">
            <v>0</v>
          </cell>
          <cell r="AC90">
            <v>0</v>
          </cell>
        </row>
        <row r="91">
          <cell r="Z91">
            <v>0</v>
          </cell>
          <cell r="AC91">
            <v>0</v>
          </cell>
        </row>
        <row r="92">
          <cell r="Z92">
            <v>0</v>
          </cell>
          <cell r="AC92">
            <v>0</v>
          </cell>
        </row>
        <row r="93">
          <cell r="Z93">
            <v>0</v>
          </cell>
          <cell r="AC93">
            <v>0</v>
          </cell>
        </row>
        <row r="94">
          <cell r="Z94">
            <v>0</v>
          </cell>
          <cell r="AC94">
            <v>0</v>
          </cell>
        </row>
        <row r="95">
          <cell r="Z95">
            <v>0</v>
          </cell>
          <cell r="AC95">
            <v>0</v>
          </cell>
        </row>
        <row r="96">
          <cell r="Z96">
            <v>0</v>
          </cell>
          <cell r="AC96">
            <v>0</v>
          </cell>
        </row>
        <row r="98">
          <cell r="Z98">
            <v>0</v>
          </cell>
          <cell r="AC98">
            <v>0</v>
          </cell>
        </row>
        <row r="99">
          <cell r="Z99">
            <v>0</v>
          </cell>
          <cell r="AC99">
            <v>0</v>
          </cell>
        </row>
        <row r="100">
          <cell r="Z100">
            <v>0</v>
          </cell>
          <cell r="AC100">
            <v>0</v>
          </cell>
        </row>
        <row r="101">
          <cell r="Z101">
            <v>0</v>
          </cell>
          <cell r="AC101">
            <v>0</v>
          </cell>
        </row>
        <row r="102">
          <cell r="Z102">
            <v>0</v>
          </cell>
          <cell r="AC102">
            <v>0</v>
          </cell>
        </row>
        <row r="103">
          <cell r="Z103">
            <v>0</v>
          </cell>
          <cell r="AC103">
            <v>0</v>
          </cell>
        </row>
        <row r="104">
          <cell r="Z104">
            <v>0</v>
          </cell>
          <cell r="AC104">
            <v>0</v>
          </cell>
        </row>
        <row r="105">
          <cell r="Z105">
            <v>0</v>
          </cell>
          <cell r="AC105">
            <v>0</v>
          </cell>
        </row>
        <row r="106">
          <cell r="Z106">
            <v>0</v>
          </cell>
          <cell r="AC106">
            <v>0</v>
          </cell>
        </row>
        <row r="107">
          <cell r="Z107">
            <v>0</v>
          </cell>
          <cell r="AC107">
            <v>0</v>
          </cell>
        </row>
        <row r="108">
          <cell r="Z108">
            <v>0</v>
          </cell>
          <cell r="AC108">
            <v>0</v>
          </cell>
        </row>
        <row r="109">
          <cell r="Z109">
            <v>0</v>
          </cell>
          <cell r="AC109">
            <v>0</v>
          </cell>
        </row>
        <row r="110">
          <cell r="Z110">
            <v>0</v>
          </cell>
          <cell r="AC110">
            <v>0</v>
          </cell>
        </row>
        <row r="111">
          <cell r="Z111">
            <v>0</v>
          </cell>
          <cell r="AC111">
            <v>0</v>
          </cell>
        </row>
        <row r="112">
          <cell r="Z112">
            <v>0</v>
          </cell>
          <cell r="AC112">
            <v>0</v>
          </cell>
        </row>
        <row r="113">
          <cell r="Z113">
            <v>0</v>
          </cell>
          <cell r="AC113">
            <v>0</v>
          </cell>
        </row>
        <row r="114">
          <cell r="Z114">
            <v>0</v>
          </cell>
          <cell r="AC114">
            <v>0</v>
          </cell>
        </row>
        <row r="115">
          <cell r="Z115">
            <v>0</v>
          </cell>
          <cell r="AC115">
            <v>0</v>
          </cell>
        </row>
        <row r="116">
          <cell r="Z116">
            <v>0</v>
          </cell>
          <cell r="AC116">
            <v>0</v>
          </cell>
        </row>
        <row r="117">
          <cell r="Z117">
            <v>0</v>
          </cell>
          <cell r="AC117">
            <v>0</v>
          </cell>
        </row>
        <row r="118">
          <cell r="Z118">
            <v>0</v>
          </cell>
          <cell r="AC118">
            <v>0</v>
          </cell>
        </row>
        <row r="119">
          <cell r="Z119">
            <v>0</v>
          </cell>
          <cell r="AC119">
            <v>0</v>
          </cell>
        </row>
        <row r="120">
          <cell r="Z120">
            <v>0</v>
          </cell>
          <cell r="AC120">
            <v>0</v>
          </cell>
        </row>
        <row r="121">
          <cell r="Z121">
            <v>0</v>
          </cell>
          <cell r="AC121">
            <v>0</v>
          </cell>
        </row>
        <row r="122">
          <cell r="Z122">
            <v>0</v>
          </cell>
          <cell r="AC122">
            <v>0</v>
          </cell>
        </row>
        <row r="123">
          <cell r="Z123">
            <v>0</v>
          </cell>
          <cell r="AC123">
            <v>0</v>
          </cell>
        </row>
        <row r="125">
          <cell r="Z125">
            <v>0</v>
          </cell>
          <cell r="AC125">
            <v>0</v>
          </cell>
        </row>
        <row r="126">
          <cell r="Z126">
            <v>0</v>
          </cell>
          <cell r="AC126">
            <v>0</v>
          </cell>
        </row>
        <row r="127">
          <cell r="Z127">
            <v>0</v>
          </cell>
          <cell r="AC127">
            <v>0</v>
          </cell>
        </row>
        <row r="128">
          <cell r="Z128">
            <v>0</v>
          </cell>
          <cell r="AC128">
            <v>0</v>
          </cell>
        </row>
        <row r="129">
          <cell r="Z129">
            <v>0</v>
          </cell>
          <cell r="AC129">
            <v>0</v>
          </cell>
        </row>
        <row r="130">
          <cell r="Z130">
            <v>0</v>
          </cell>
          <cell r="AC130">
            <v>0</v>
          </cell>
        </row>
        <row r="131">
          <cell r="Z131">
            <v>0</v>
          </cell>
          <cell r="AC131">
            <v>0</v>
          </cell>
        </row>
        <row r="132">
          <cell r="Z132">
            <v>0</v>
          </cell>
          <cell r="AC132">
            <v>0</v>
          </cell>
        </row>
        <row r="133">
          <cell r="Z133">
            <v>0</v>
          </cell>
          <cell r="AC133">
            <v>0</v>
          </cell>
        </row>
        <row r="134">
          <cell r="Z134">
            <v>0</v>
          </cell>
          <cell r="AC134">
            <v>0</v>
          </cell>
        </row>
        <row r="135">
          <cell r="Z135">
            <v>0</v>
          </cell>
          <cell r="AC135">
            <v>0</v>
          </cell>
        </row>
        <row r="136">
          <cell r="Z136">
            <v>0</v>
          </cell>
          <cell r="AC136">
            <v>0</v>
          </cell>
        </row>
        <row r="138">
          <cell r="Z138">
            <v>0</v>
          </cell>
          <cell r="AC138">
            <v>0</v>
          </cell>
        </row>
        <row r="139">
          <cell r="Z139">
            <v>0</v>
          </cell>
          <cell r="AC139">
            <v>0</v>
          </cell>
        </row>
        <row r="140">
          <cell r="Z140">
            <v>0</v>
          </cell>
          <cell r="AC140">
            <v>0</v>
          </cell>
        </row>
        <row r="141">
          <cell r="Z141">
            <v>0</v>
          </cell>
          <cell r="AC141">
            <v>0</v>
          </cell>
        </row>
        <row r="142">
          <cell r="Z142">
            <v>0</v>
          </cell>
          <cell r="AC142">
            <v>0</v>
          </cell>
        </row>
        <row r="143">
          <cell r="Z143">
            <v>0</v>
          </cell>
          <cell r="AC143">
            <v>0</v>
          </cell>
        </row>
        <row r="144">
          <cell r="Z144">
            <v>0</v>
          </cell>
          <cell r="AC144">
            <v>0</v>
          </cell>
        </row>
        <row r="146">
          <cell r="Z146">
            <v>0</v>
          </cell>
          <cell r="AC146">
            <v>0</v>
          </cell>
        </row>
        <row r="147">
          <cell r="Z147">
            <v>0</v>
          </cell>
          <cell r="AC147">
            <v>0</v>
          </cell>
        </row>
        <row r="148">
          <cell r="Z148">
            <v>0</v>
          </cell>
          <cell r="AC148">
            <v>0</v>
          </cell>
        </row>
        <row r="149">
          <cell r="Z149">
            <v>0</v>
          </cell>
          <cell r="AC149">
            <v>0</v>
          </cell>
        </row>
        <row r="150">
          <cell r="Z150">
            <v>0</v>
          </cell>
          <cell r="AC150">
            <v>0</v>
          </cell>
        </row>
        <row r="152">
          <cell r="Z152">
            <v>0</v>
          </cell>
          <cell r="AC152">
            <v>0</v>
          </cell>
        </row>
        <row r="153">
          <cell r="Z153">
            <v>0</v>
          </cell>
          <cell r="AC153">
            <v>0</v>
          </cell>
        </row>
        <row r="154">
          <cell r="Z154">
            <v>0</v>
          </cell>
          <cell r="AC154">
            <v>0</v>
          </cell>
        </row>
        <row r="155">
          <cell r="Z155">
            <v>0</v>
          </cell>
          <cell r="AC155">
            <v>0</v>
          </cell>
        </row>
        <row r="156">
          <cell r="Z156">
            <v>0</v>
          </cell>
          <cell r="AC156">
            <v>0</v>
          </cell>
        </row>
        <row r="157">
          <cell r="Z157">
            <v>0</v>
          </cell>
          <cell r="AC157">
            <v>0</v>
          </cell>
        </row>
        <row r="158">
          <cell r="Z158">
            <v>0</v>
          </cell>
          <cell r="AC158">
            <v>0</v>
          </cell>
        </row>
        <row r="159">
          <cell r="Z159">
            <v>0</v>
          </cell>
          <cell r="AC159">
            <v>0</v>
          </cell>
        </row>
        <row r="160">
          <cell r="Z160">
            <v>0</v>
          </cell>
          <cell r="AC160">
            <v>0</v>
          </cell>
        </row>
        <row r="161">
          <cell r="Z161">
            <v>0</v>
          </cell>
          <cell r="AC161">
            <v>0</v>
          </cell>
        </row>
        <row r="162">
          <cell r="Z162">
            <v>0</v>
          </cell>
          <cell r="AC162">
            <v>0</v>
          </cell>
        </row>
        <row r="163">
          <cell r="Z163">
            <v>0</v>
          </cell>
          <cell r="AC163">
            <v>0</v>
          </cell>
        </row>
        <row r="165">
          <cell r="Z165">
            <v>0</v>
          </cell>
          <cell r="AC165">
            <v>0</v>
          </cell>
        </row>
        <row r="166">
          <cell r="Z166">
            <v>0</v>
          </cell>
          <cell r="AC166">
            <v>0</v>
          </cell>
        </row>
        <row r="167">
          <cell r="Z167">
            <v>0</v>
          </cell>
          <cell r="AC167">
            <v>0</v>
          </cell>
        </row>
        <row r="168">
          <cell r="Z168">
            <v>0</v>
          </cell>
          <cell r="AC168">
            <v>0</v>
          </cell>
        </row>
        <row r="169">
          <cell r="Z169">
            <v>0</v>
          </cell>
          <cell r="AC169">
            <v>0</v>
          </cell>
        </row>
        <row r="170">
          <cell r="Z170">
            <v>0</v>
          </cell>
          <cell r="AC170">
            <v>0</v>
          </cell>
        </row>
        <row r="171">
          <cell r="Z171">
            <v>0</v>
          </cell>
          <cell r="AC171">
            <v>0</v>
          </cell>
        </row>
        <row r="172">
          <cell r="Z172">
            <v>0</v>
          </cell>
          <cell r="AC172">
            <v>0</v>
          </cell>
        </row>
        <row r="173">
          <cell r="Z173">
            <v>0</v>
          </cell>
          <cell r="AC173">
            <v>0</v>
          </cell>
        </row>
        <row r="174">
          <cell r="Z174">
            <v>0</v>
          </cell>
          <cell r="AC174">
            <v>0</v>
          </cell>
        </row>
        <row r="176">
          <cell r="Z176">
            <v>0</v>
          </cell>
          <cell r="AC176">
            <v>0</v>
          </cell>
        </row>
        <row r="177">
          <cell r="Z177">
            <v>0</v>
          </cell>
          <cell r="AC177">
            <v>0</v>
          </cell>
        </row>
        <row r="179">
          <cell r="Z179">
            <v>0</v>
          </cell>
          <cell r="AC179">
            <v>0</v>
          </cell>
        </row>
        <row r="180">
          <cell r="Z180">
            <v>0</v>
          </cell>
          <cell r="AC180">
            <v>0</v>
          </cell>
        </row>
        <row r="181">
          <cell r="Z181">
            <v>0</v>
          </cell>
          <cell r="AC181">
            <v>0</v>
          </cell>
        </row>
        <row r="182">
          <cell r="Z182">
            <v>0</v>
          </cell>
          <cell r="AC182">
            <v>0</v>
          </cell>
        </row>
        <row r="183">
          <cell r="Z183">
            <v>0</v>
          </cell>
          <cell r="AC183">
            <v>0</v>
          </cell>
        </row>
        <row r="184">
          <cell r="Z184">
            <v>0</v>
          </cell>
          <cell r="AC184">
            <v>0</v>
          </cell>
        </row>
        <row r="185">
          <cell r="Z185">
            <v>0</v>
          </cell>
          <cell r="AC185">
            <v>0</v>
          </cell>
        </row>
        <row r="186">
          <cell r="Z186">
            <v>0</v>
          </cell>
          <cell r="AC186">
            <v>0</v>
          </cell>
        </row>
        <row r="187">
          <cell r="Z187">
            <v>0</v>
          </cell>
          <cell r="AC187">
            <v>0</v>
          </cell>
        </row>
        <row r="188">
          <cell r="Z188">
            <v>0</v>
          </cell>
          <cell r="AC188">
            <v>0</v>
          </cell>
        </row>
        <row r="189">
          <cell r="Z189">
            <v>0</v>
          </cell>
          <cell r="AC189">
            <v>0</v>
          </cell>
        </row>
        <row r="190">
          <cell r="Z190">
            <v>0</v>
          </cell>
          <cell r="AC190">
            <v>0</v>
          </cell>
        </row>
        <row r="191">
          <cell r="Z191">
            <v>0</v>
          </cell>
          <cell r="AC191">
            <v>0</v>
          </cell>
        </row>
        <row r="192">
          <cell r="Z192">
            <v>0</v>
          </cell>
          <cell r="AC192">
            <v>0</v>
          </cell>
        </row>
        <row r="193">
          <cell r="Z193">
            <v>0</v>
          </cell>
          <cell r="AC193">
            <v>0</v>
          </cell>
        </row>
        <row r="194">
          <cell r="Z194">
            <v>0</v>
          </cell>
          <cell r="AC194">
            <v>0</v>
          </cell>
        </row>
        <row r="195">
          <cell r="AA195">
            <v>0</v>
          </cell>
          <cell r="AB195">
            <v>0</v>
          </cell>
          <cell r="AE195">
            <v>0</v>
          </cell>
          <cell r="FI195">
            <v>0</v>
          </cell>
        </row>
      </sheetData>
      <sheetData sheetId="12">
        <row r="18">
          <cell r="D18">
            <v>1068676.8700000001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7525.62</v>
          </cell>
        </row>
        <row r="20">
          <cell r="X20">
            <v>0</v>
          </cell>
          <cell r="Y20">
            <v>0</v>
          </cell>
          <cell r="AA20">
            <v>0</v>
          </cell>
          <cell r="AB20">
            <v>0</v>
          </cell>
        </row>
        <row r="21">
          <cell r="X21">
            <v>0</v>
          </cell>
          <cell r="Y21">
            <v>0</v>
          </cell>
          <cell r="AA21">
            <v>0</v>
          </cell>
          <cell r="AB21">
            <v>0</v>
          </cell>
        </row>
        <row r="22">
          <cell r="X22">
            <v>0</v>
          </cell>
          <cell r="Y22">
            <v>0</v>
          </cell>
          <cell r="AA22">
            <v>0</v>
          </cell>
          <cell r="AB22">
            <v>0</v>
          </cell>
        </row>
        <row r="23">
          <cell r="X23">
            <v>0</v>
          </cell>
          <cell r="Y23">
            <v>0</v>
          </cell>
          <cell r="AA23">
            <v>0</v>
          </cell>
          <cell r="AB23">
            <v>0</v>
          </cell>
        </row>
        <row r="24">
          <cell r="X24">
            <v>0</v>
          </cell>
          <cell r="Y24">
            <v>0</v>
          </cell>
          <cell r="AA24">
            <v>0</v>
          </cell>
          <cell r="AB24">
            <v>0</v>
          </cell>
        </row>
        <row r="25">
          <cell r="X25">
            <v>0</v>
          </cell>
          <cell r="Y25">
            <v>0</v>
          </cell>
          <cell r="AA25">
            <v>0</v>
          </cell>
          <cell r="AB25">
            <v>0</v>
          </cell>
        </row>
        <row r="27">
          <cell r="X27">
            <v>0</v>
          </cell>
          <cell r="Y27">
            <v>0</v>
          </cell>
          <cell r="AA27">
            <v>0</v>
          </cell>
          <cell r="AB27">
            <v>0</v>
          </cell>
        </row>
        <row r="28">
          <cell r="X28">
            <v>0</v>
          </cell>
          <cell r="Y28">
            <v>0</v>
          </cell>
          <cell r="AA28">
            <v>0</v>
          </cell>
          <cell r="AB28">
            <v>0</v>
          </cell>
        </row>
        <row r="29">
          <cell r="X29">
            <v>0</v>
          </cell>
          <cell r="Y29">
            <v>0</v>
          </cell>
          <cell r="AA29">
            <v>0</v>
          </cell>
          <cell r="AB29">
            <v>0</v>
          </cell>
        </row>
        <row r="30">
          <cell r="X30">
            <v>0</v>
          </cell>
          <cell r="Y30">
            <v>0</v>
          </cell>
          <cell r="AA30">
            <v>0</v>
          </cell>
          <cell r="AB30">
            <v>0</v>
          </cell>
        </row>
        <row r="31">
          <cell r="X31">
            <v>0</v>
          </cell>
          <cell r="Y31">
            <v>0</v>
          </cell>
          <cell r="AA31">
            <v>0</v>
          </cell>
          <cell r="AB31">
            <v>0</v>
          </cell>
        </row>
        <row r="32">
          <cell r="X32">
            <v>0</v>
          </cell>
          <cell r="Y32">
            <v>0</v>
          </cell>
          <cell r="AA32">
            <v>0</v>
          </cell>
          <cell r="AB32">
            <v>0</v>
          </cell>
        </row>
        <row r="33">
          <cell r="X33">
            <v>0</v>
          </cell>
          <cell r="Y33">
            <v>0</v>
          </cell>
          <cell r="AA33">
            <v>0</v>
          </cell>
          <cell r="AB33">
            <v>0</v>
          </cell>
        </row>
        <row r="34">
          <cell r="X34">
            <v>0</v>
          </cell>
          <cell r="Y34">
            <v>0</v>
          </cell>
          <cell r="AA34">
            <v>0</v>
          </cell>
          <cell r="AB34">
            <v>0</v>
          </cell>
        </row>
        <row r="35">
          <cell r="X35">
            <v>0</v>
          </cell>
          <cell r="Y35">
            <v>0</v>
          </cell>
          <cell r="AA35">
            <v>0</v>
          </cell>
          <cell r="AB35">
            <v>0</v>
          </cell>
        </row>
        <row r="36">
          <cell r="X36">
            <v>0</v>
          </cell>
          <cell r="Y36">
            <v>0</v>
          </cell>
          <cell r="AA36">
            <v>0</v>
          </cell>
          <cell r="AB36">
            <v>0</v>
          </cell>
        </row>
        <row r="37">
          <cell r="X37">
            <v>0</v>
          </cell>
          <cell r="Y37">
            <v>0</v>
          </cell>
          <cell r="AA37">
            <v>0</v>
          </cell>
          <cell r="AB37">
            <v>0</v>
          </cell>
        </row>
        <row r="38">
          <cell r="X38">
            <v>0</v>
          </cell>
          <cell r="Y38">
            <v>0</v>
          </cell>
          <cell r="AA38">
            <v>0</v>
          </cell>
          <cell r="AB38">
            <v>0</v>
          </cell>
        </row>
        <row r="39">
          <cell r="X39">
            <v>0</v>
          </cell>
          <cell r="Y39">
            <v>0</v>
          </cell>
          <cell r="AA39">
            <v>0</v>
          </cell>
          <cell r="AB39">
            <v>0</v>
          </cell>
        </row>
        <row r="40">
          <cell r="X40">
            <v>0</v>
          </cell>
          <cell r="Y40">
            <v>0</v>
          </cell>
          <cell r="AA40">
            <v>0</v>
          </cell>
          <cell r="AB40">
            <v>0</v>
          </cell>
        </row>
        <row r="41">
          <cell r="X41">
            <v>0</v>
          </cell>
          <cell r="Y41">
            <v>0</v>
          </cell>
          <cell r="AA41">
            <v>0</v>
          </cell>
          <cell r="AB41">
            <v>0</v>
          </cell>
        </row>
        <row r="42">
          <cell r="X42">
            <v>0</v>
          </cell>
          <cell r="Y42">
            <v>0</v>
          </cell>
          <cell r="AA42">
            <v>0</v>
          </cell>
          <cell r="AB42">
            <v>0</v>
          </cell>
        </row>
        <row r="43">
          <cell r="X43">
            <v>0</v>
          </cell>
          <cell r="Y43">
            <v>0</v>
          </cell>
          <cell r="AA43">
            <v>0</v>
          </cell>
          <cell r="AB43">
            <v>0</v>
          </cell>
        </row>
        <row r="44">
          <cell r="X44">
            <v>0</v>
          </cell>
          <cell r="Y44">
            <v>0</v>
          </cell>
          <cell r="AA44">
            <v>0</v>
          </cell>
          <cell r="AB44">
            <v>0</v>
          </cell>
        </row>
        <row r="45">
          <cell r="X45">
            <v>0</v>
          </cell>
          <cell r="Y45">
            <v>0</v>
          </cell>
          <cell r="AA45">
            <v>0</v>
          </cell>
          <cell r="AB45">
            <v>0</v>
          </cell>
        </row>
        <row r="47">
          <cell r="X47">
            <v>0</v>
          </cell>
          <cell r="Y47">
            <v>0</v>
          </cell>
          <cell r="AA47">
            <v>0</v>
          </cell>
          <cell r="AB47">
            <v>0</v>
          </cell>
        </row>
        <row r="48">
          <cell r="X48">
            <v>0</v>
          </cell>
          <cell r="Y48">
            <v>0</v>
          </cell>
          <cell r="AA48">
            <v>0</v>
          </cell>
          <cell r="AB48">
            <v>0</v>
          </cell>
        </row>
        <row r="50">
          <cell r="X50">
            <v>0</v>
          </cell>
          <cell r="Y50">
            <v>0</v>
          </cell>
          <cell r="AA50">
            <v>0</v>
          </cell>
          <cell r="AB50">
            <v>0</v>
          </cell>
        </row>
        <row r="51">
          <cell r="X51">
            <v>0</v>
          </cell>
          <cell r="Y51">
            <v>0</v>
          </cell>
          <cell r="AA51">
            <v>0</v>
          </cell>
          <cell r="AB51">
            <v>0</v>
          </cell>
        </row>
        <row r="52">
          <cell r="X52">
            <v>0</v>
          </cell>
          <cell r="Y52">
            <v>0</v>
          </cell>
          <cell r="AA52">
            <v>0</v>
          </cell>
          <cell r="AB52">
            <v>0</v>
          </cell>
        </row>
        <row r="54">
          <cell r="X54">
            <v>0</v>
          </cell>
          <cell r="Y54">
            <v>0</v>
          </cell>
          <cell r="AA54">
            <v>0</v>
          </cell>
          <cell r="AB54">
            <v>0</v>
          </cell>
        </row>
        <row r="55">
          <cell r="X55">
            <v>0</v>
          </cell>
          <cell r="Y55">
            <v>0</v>
          </cell>
          <cell r="AA55">
            <v>0</v>
          </cell>
          <cell r="AB55">
            <v>0</v>
          </cell>
        </row>
        <row r="56">
          <cell r="X56">
            <v>0</v>
          </cell>
          <cell r="Y56">
            <v>0</v>
          </cell>
          <cell r="AA56">
            <v>0</v>
          </cell>
          <cell r="AB56">
            <v>0</v>
          </cell>
        </row>
        <row r="58">
          <cell r="X58">
            <v>0</v>
          </cell>
          <cell r="Y58">
            <v>0</v>
          </cell>
          <cell r="AA58">
            <v>0</v>
          </cell>
          <cell r="AB58">
            <v>0</v>
          </cell>
        </row>
        <row r="59">
          <cell r="X59">
            <v>0</v>
          </cell>
          <cell r="Y59">
            <v>0</v>
          </cell>
          <cell r="AA59">
            <v>0</v>
          </cell>
          <cell r="AB59">
            <v>0</v>
          </cell>
        </row>
        <row r="60">
          <cell r="X60">
            <v>0</v>
          </cell>
          <cell r="Y60">
            <v>0</v>
          </cell>
          <cell r="AA60">
            <v>0</v>
          </cell>
          <cell r="AB60">
            <v>0</v>
          </cell>
        </row>
        <row r="61">
          <cell r="X61">
            <v>0</v>
          </cell>
          <cell r="Y61">
            <v>0</v>
          </cell>
          <cell r="AA61">
            <v>0</v>
          </cell>
          <cell r="AB61">
            <v>0</v>
          </cell>
        </row>
        <row r="62">
          <cell r="X62">
            <v>0</v>
          </cell>
          <cell r="Y62">
            <v>0</v>
          </cell>
          <cell r="AA62">
            <v>0</v>
          </cell>
          <cell r="AB62">
            <v>0</v>
          </cell>
        </row>
        <row r="63">
          <cell r="X63">
            <v>0</v>
          </cell>
          <cell r="Y63">
            <v>0</v>
          </cell>
          <cell r="AA63">
            <v>0</v>
          </cell>
          <cell r="AB63">
            <v>0</v>
          </cell>
        </row>
        <row r="64">
          <cell r="X64">
            <v>0</v>
          </cell>
          <cell r="Y64">
            <v>0</v>
          </cell>
          <cell r="AA64">
            <v>0</v>
          </cell>
          <cell r="AB64">
            <v>0</v>
          </cell>
        </row>
        <row r="94">
          <cell r="X94">
            <v>0</v>
          </cell>
          <cell r="Y94">
            <v>0</v>
          </cell>
          <cell r="AA94">
            <v>0</v>
          </cell>
          <cell r="AB94">
            <v>0</v>
          </cell>
        </row>
        <row r="95">
          <cell r="X95">
            <v>0</v>
          </cell>
          <cell r="Y95">
            <v>0</v>
          </cell>
          <cell r="AA95">
            <v>0</v>
          </cell>
          <cell r="AB95">
            <v>0</v>
          </cell>
        </row>
        <row r="96">
          <cell r="X96">
            <v>0</v>
          </cell>
          <cell r="Y96">
            <v>0</v>
          </cell>
          <cell r="AA96">
            <v>0</v>
          </cell>
          <cell r="AB96">
            <v>0</v>
          </cell>
        </row>
        <row r="97">
          <cell r="X97">
            <v>0</v>
          </cell>
          <cell r="Y97">
            <v>0</v>
          </cell>
          <cell r="AA97">
            <v>0</v>
          </cell>
          <cell r="AB97">
            <v>57.198062497974711</v>
          </cell>
        </row>
        <row r="98">
          <cell r="X98">
            <v>0</v>
          </cell>
          <cell r="Y98">
            <v>0</v>
          </cell>
          <cell r="AA98">
            <v>0</v>
          </cell>
          <cell r="AB98">
            <v>0</v>
          </cell>
        </row>
        <row r="99">
          <cell r="X99">
            <v>0</v>
          </cell>
          <cell r="Y99">
            <v>0</v>
          </cell>
          <cell r="AA99">
            <v>0</v>
          </cell>
          <cell r="AB99">
            <v>0</v>
          </cell>
        </row>
        <row r="100">
          <cell r="X100">
            <v>0</v>
          </cell>
          <cell r="Y100">
            <v>0</v>
          </cell>
          <cell r="AA100">
            <v>0</v>
          </cell>
          <cell r="AB100">
            <v>0</v>
          </cell>
        </row>
        <row r="101">
          <cell r="X101">
            <v>0</v>
          </cell>
          <cell r="Y101">
            <v>0</v>
          </cell>
          <cell r="AA101">
            <v>0</v>
          </cell>
          <cell r="AB101">
            <v>0</v>
          </cell>
        </row>
        <row r="102">
          <cell r="X102">
            <v>0</v>
          </cell>
          <cell r="Y102">
            <v>0</v>
          </cell>
          <cell r="AA102">
            <v>0</v>
          </cell>
          <cell r="AB102">
            <v>4.3730805364955633E-2</v>
          </cell>
        </row>
        <row r="103">
          <cell r="X103">
            <v>0</v>
          </cell>
          <cell r="Y103">
            <v>0</v>
          </cell>
          <cell r="AA103">
            <v>0</v>
          </cell>
          <cell r="AB103">
            <v>0</v>
          </cell>
        </row>
        <row r="104">
          <cell r="X104">
            <v>0</v>
          </cell>
          <cell r="Y104">
            <v>0</v>
          </cell>
          <cell r="AA104">
            <v>0</v>
          </cell>
          <cell r="AB104">
            <v>0</v>
          </cell>
        </row>
        <row r="105">
          <cell r="X105">
            <v>0</v>
          </cell>
          <cell r="Y105">
            <v>0</v>
          </cell>
          <cell r="AA105">
            <v>0</v>
          </cell>
          <cell r="AB105">
            <v>0</v>
          </cell>
        </row>
        <row r="106">
          <cell r="X106">
            <v>0</v>
          </cell>
          <cell r="Y106">
            <v>0</v>
          </cell>
          <cell r="AA106">
            <v>0</v>
          </cell>
          <cell r="AB106">
            <v>0</v>
          </cell>
        </row>
        <row r="107">
          <cell r="X107">
            <v>0</v>
          </cell>
          <cell r="Y107">
            <v>0</v>
          </cell>
          <cell r="AA107">
            <v>0</v>
          </cell>
          <cell r="AB107">
            <v>0</v>
          </cell>
        </row>
        <row r="108">
          <cell r="X108">
            <v>0</v>
          </cell>
          <cell r="Y108">
            <v>0</v>
          </cell>
          <cell r="AA108">
            <v>0</v>
          </cell>
          <cell r="AB108">
            <v>0.14083995286620171</v>
          </cell>
        </row>
        <row r="109">
          <cell r="X109">
            <v>0</v>
          </cell>
          <cell r="Y109">
            <v>0</v>
          </cell>
          <cell r="AA109">
            <v>0</v>
          </cell>
          <cell r="AB109">
            <v>0</v>
          </cell>
        </row>
        <row r="110">
          <cell r="X110">
            <v>0</v>
          </cell>
          <cell r="Y110">
            <v>0</v>
          </cell>
          <cell r="AA110">
            <v>0</v>
          </cell>
          <cell r="AB110">
            <v>0</v>
          </cell>
        </row>
        <row r="111">
          <cell r="X111">
            <v>0</v>
          </cell>
          <cell r="Y111">
            <v>0</v>
          </cell>
          <cell r="AA111">
            <v>0</v>
          </cell>
          <cell r="AB111">
            <v>1.0703836417831332</v>
          </cell>
        </row>
        <row r="112">
          <cell r="X112">
            <v>0</v>
          </cell>
          <cell r="Y112">
            <v>0</v>
          </cell>
          <cell r="AA112">
            <v>0</v>
          </cell>
          <cell r="AB112">
            <v>16.27138059458515</v>
          </cell>
        </row>
        <row r="113">
          <cell r="X113">
            <v>0</v>
          </cell>
          <cell r="Y113">
            <v>0</v>
          </cell>
          <cell r="AA113">
            <v>0</v>
          </cell>
          <cell r="AB113">
            <v>0</v>
          </cell>
        </row>
        <row r="114">
          <cell r="X114">
            <v>0</v>
          </cell>
          <cell r="Y114">
            <v>0</v>
          </cell>
          <cell r="AA114">
            <v>0</v>
          </cell>
          <cell r="AB114">
            <v>0</v>
          </cell>
        </row>
        <row r="115">
          <cell r="X115">
            <v>0</v>
          </cell>
          <cell r="Y115">
            <v>0</v>
          </cell>
          <cell r="AA115">
            <v>0</v>
          </cell>
          <cell r="AB115">
            <v>4.1480887117918055</v>
          </cell>
        </row>
        <row r="116">
          <cell r="X116">
            <v>0</v>
          </cell>
          <cell r="Y116">
            <v>0</v>
          </cell>
          <cell r="AA116">
            <v>0</v>
          </cell>
          <cell r="AB116">
            <v>0</v>
          </cell>
        </row>
        <row r="117">
          <cell r="X117">
            <v>0</v>
          </cell>
          <cell r="Y117">
            <v>0</v>
          </cell>
          <cell r="AA117">
            <v>0</v>
          </cell>
          <cell r="AB117">
            <v>0</v>
          </cell>
        </row>
        <row r="118">
          <cell r="X118">
            <v>0</v>
          </cell>
          <cell r="Y118">
            <v>0</v>
          </cell>
          <cell r="AA118">
            <v>0</v>
          </cell>
          <cell r="AB118">
            <v>0</v>
          </cell>
        </row>
        <row r="119">
          <cell r="X119">
            <v>0</v>
          </cell>
          <cell r="Y119">
            <v>0</v>
          </cell>
          <cell r="AA119">
            <v>0</v>
          </cell>
          <cell r="AB119">
            <v>0</v>
          </cell>
        </row>
        <row r="121">
          <cell r="X121">
            <v>0</v>
          </cell>
          <cell r="Y121">
            <v>0</v>
          </cell>
          <cell r="AA121">
            <v>0</v>
          </cell>
          <cell r="AB121">
            <v>0</v>
          </cell>
        </row>
        <row r="122">
          <cell r="X122">
            <v>0</v>
          </cell>
          <cell r="Y122">
            <v>0</v>
          </cell>
          <cell r="AA122">
            <v>0</v>
          </cell>
          <cell r="AB122">
            <v>34.54311103972897</v>
          </cell>
        </row>
        <row r="123">
          <cell r="X123">
            <v>0</v>
          </cell>
          <cell r="Y123">
            <v>0</v>
          </cell>
          <cell r="AA123">
            <v>0</v>
          </cell>
          <cell r="AB123">
            <v>2.174216772371989</v>
          </cell>
        </row>
        <row r="124">
          <cell r="X124">
            <v>0</v>
          </cell>
          <cell r="Y124">
            <v>0</v>
          </cell>
          <cell r="AA124">
            <v>0</v>
          </cell>
          <cell r="AB124">
            <v>11.158045265824832</v>
          </cell>
        </row>
        <row r="125">
          <cell r="X125">
            <v>0</v>
          </cell>
          <cell r="Y125">
            <v>0</v>
          </cell>
          <cell r="AA125">
            <v>0</v>
          </cell>
          <cell r="AB125">
            <v>0</v>
          </cell>
        </row>
        <row r="126">
          <cell r="X126">
            <v>0</v>
          </cell>
          <cell r="Y126">
            <v>0</v>
          </cell>
          <cell r="AA126">
            <v>0</v>
          </cell>
          <cell r="AB126">
            <v>0</v>
          </cell>
        </row>
        <row r="127">
          <cell r="X127">
            <v>0</v>
          </cell>
          <cell r="Y127">
            <v>0</v>
          </cell>
          <cell r="AA127">
            <v>0</v>
          </cell>
          <cell r="AB127">
            <v>0</v>
          </cell>
        </row>
        <row r="128">
          <cell r="X128">
            <v>0</v>
          </cell>
          <cell r="Y128">
            <v>0</v>
          </cell>
          <cell r="AA128">
            <v>0</v>
          </cell>
          <cell r="AB128">
            <v>1396.6720674667545</v>
          </cell>
        </row>
        <row r="129">
          <cell r="X129">
            <v>0</v>
          </cell>
          <cell r="Y129">
            <v>0</v>
          </cell>
          <cell r="AA129">
            <v>0</v>
          </cell>
          <cell r="AB129">
            <v>0</v>
          </cell>
        </row>
        <row r="130">
          <cell r="X130">
            <v>0</v>
          </cell>
          <cell r="Y130">
            <v>0</v>
          </cell>
          <cell r="AA130">
            <v>0</v>
          </cell>
          <cell r="AB130">
            <v>0</v>
          </cell>
        </row>
        <row r="131">
          <cell r="X131">
            <v>0</v>
          </cell>
          <cell r="Y131">
            <v>0</v>
          </cell>
          <cell r="AA131">
            <v>0</v>
          </cell>
          <cell r="AB131">
            <v>0</v>
          </cell>
        </row>
        <row r="132">
          <cell r="X132">
            <v>0</v>
          </cell>
          <cell r="Y132">
            <v>0</v>
          </cell>
          <cell r="AA132">
            <v>0</v>
          </cell>
          <cell r="AB132">
            <v>0</v>
          </cell>
        </row>
        <row r="134">
          <cell r="X134">
            <v>0</v>
          </cell>
          <cell r="Y134">
            <v>0</v>
          </cell>
          <cell r="AA134">
            <v>0</v>
          </cell>
          <cell r="AB134">
            <v>0</v>
          </cell>
        </row>
        <row r="135">
          <cell r="X135">
            <v>0</v>
          </cell>
          <cell r="Y135">
            <v>0</v>
          </cell>
          <cell r="AA135">
            <v>0</v>
          </cell>
          <cell r="AB135">
            <v>263.42000584330037</v>
          </cell>
        </row>
        <row r="136">
          <cell r="X136">
            <v>0</v>
          </cell>
          <cell r="Y136">
            <v>0</v>
          </cell>
          <cell r="AA136">
            <v>0</v>
          </cell>
          <cell r="AB136">
            <v>0.12675595757958155</v>
          </cell>
        </row>
        <row r="137">
          <cell r="X137">
            <v>0</v>
          </cell>
          <cell r="Y137">
            <v>0</v>
          </cell>
          <cell r="AA137">
            <v>0</v>
          </cell>
          <cell r="AB137">
            <v>0</v>
          </cell>
        </row>
        <row r="138">
          <cell r="X138">
            <v>0</v>
          </cell>
          <cell r="Y138">
            <v>0</v>
          </cell>
          <cell r="AA138">
            <v>0</v>
          </cell>
          <cell r="AB138">
            <v>5.7603540722276501</v>
          </cell>
        </row>
        <row r="139">
          <cell r="X139">
            <v>0</v>
          </cell>
          <cell r="Y139">
            <v>0</v>
          </cell>
          <cell r="AA139">
            <v>0</v>
          </cell>
          <cell r="AB139">
            <v>0</v>
          </cell>
        </row>
        <row r="140">
          <cell r="X140">
            <v>0</v>
          </cell>
          <cell r="Y140">
            <v>0</v>
          </cell>
          <cell r="AA140">
            <v>0</v>
          </cell>
          <cell r="AB140">
            <v>2.3097752270057081</v>
          </cell>
        </row>
        <row r="142">
          <cell r="X142">
            <v>0</v>
          </cell>
          <cell r="Y142">
            <v>0</v>
          </cell>
          <cell r="AA142">
            <v>0</v>
          </cell>
          <cell r="AB142">
            <v>5.5993740061015815</v>
          </cell>
        </row>
        <row r="143">
          <cell r="X143">
            <v>0</v>
          </cell>
          <cell r="Y143">
            <v>0</v>
          </cell>
          <cell r="AA143">
            <v>0</v>
          </cell>
          <cell r="AB143">
            <v>0</v>
          </cell>
        </row>
        <row r="144">
          <cell r="X144">
            <v>0</v>
          </cell>
          <cell r="Y144">
            <v>0</v>
          </cell>
          <cell r="AA144">
            <v>0</v>
          </cell>
          <cell r="AB144">
            <v>0</v>
          </cell>
        </row>
        <row r="145">
          <cell r="X145">
            <v>0</v>
          </cell>
          <cell r="Y145">
            <v>0</v>
          </cell>
          <cell r="AA145">
            <v>0</v>
          </cell>
          <cell r="AB145">
            <v>0</v>
          </cell>
        </row>
        <row r="146">
          <cell r="X146">
            <v>0</v>
          </cell>
          <cell r="Y146">
            <v>0</v>
          </cell>
          <cell r="AA146">
            <v>0</v>
          </cell>
          <cell r="AB146">
            <v>0</v>
          </cell>
        </row>
        <row r="148">
          <cell r="X148">
            <v>0</v>
          </cell>
          <cell r="Y148">
            <v>0</v>
          </cell>
          <cell r="AA148">
            <v>0</v>
          </cell>
          <cell r="AB148">
            <v>4.7434896125336738</v>
          </cell>
        </row>
        <row r="149">
          <cell r="X149">
            <v>0</v>
          </cell>
          <cell r="Y149">
            <v>0</v>
          </cell>
          <cell r="AA149">
            <v>0</v>
          </cell>
          <cell r="AB149">
            <v>138.59834417638325</v>
          </cell>
        </row>
        <row r="150">
          <cell r="X150">
            <v>0</v>
          </cell>
          <cell r="Y150">
            <v>0</v>
          </cell>
          <cell r="AA150">
            <v>0</v>
          </cell>
          <cell r="AB150">
            <v>26.749873087830558</v>
          </cell>
        </row>
        <row r="151">
          <cell r="X151">
            <v>0</v>
          </cell>
          <cell r="Y151">
            <v>0</v>
          </cell>
          <cell r="AA151">
            <v>0</v>
          </cell>
          <cell r="AB151">
            <v>1.7717666070568177</v>
          </cell>
        </row>
        <row r="152">
          <cell r="X152">
            <v>0</v>
          </cell>
          <cell r="Y152">
            <v>0</v>
          </cell>
          <cell r="AA152">
            <v>0</v>
          </cell>
          <cell r="AB152">
            <v>12.534474125186222</v>
          </cell>
        </row>
        <row r="153">
          <cell r="X153">
            <v>0</v>
          </cell>
          <cell r="Y153">
            <v>0</v>
          </cell>
          <cell r="AA153">
            <v>0</v>
          </cell>
          <cell r="AB153">
            <v>0</v>
          </cell>
        </row>
        <row r="154">
          <cell r="X154">
            <v>0</v>
          </cell>
          <cell r="Y154">
            <v>0</v>
          </cell>
          <cell r="AA154">
            <v>0</v>
          </cell>
          <cell r="AB154">
            <v>0</v>
          </cell>
        </row>
        <row r="155">
          <cell r="X155">
            <v>0</v>
          </cell>
          <cell r="Y155">
            <v>0</v>
          </cell>
          <cell r="AA155">
            <v>0</v>
          </cell>
          <cell r="AB155">
            <v>10.118505573719398</v>
          </cell>
        </row>
        <row r="156">
          <cell r="X156">
            <v>0</v>
          </cell>
          <cell r="Y156">
            <v>0</v>
          </cell>
          <cell r="AA156">
            <v>0</v>
          </cell>
          <cell r="AB156">
            <v>5.2624848388456273</v>
          </cell>
        </row>
        <row r="157">
          <cell r="X157">
            <v>0</v>
          </cell>
          <cell r="Y157">
            <v>0</v>
          </cell>
          <cell r="AA157">
            <v>0</v>
          </cell>
          <cell r="AB157">
            <v>60.69145668886798</v>
          </cell>
        </row>
        <row r="158">
          <cell r="X158">
            <v>0</v>
          </cell>
          <cell r="Y158">
            <v>0</v>
          </cell>
          <cell r="AA158">
            <v>0</v>
          </cell>
          <cell r="AB158">
            <v>6.214351660291852</v>
          </cell>
        </row>
        <row r="159">
          <cell r="X159">
            <v>0</v>
          </cell>
          <cell r="Y159">
            <v>0</v>
          </cell>
          <cell r="AA159">
            <v>0</v>
          </cell>
          <cell r="AB159">
            <v>0</v>
          </cell>
        </row>
        <row r="161">
          <cell r="X161">
            <v>0</v>
          </cell>
          <cell r="Y161">
            <v>0</v>
          </cell>
          <cell r="AA161">
            <v>0</v>
          </cell>
          <cell r="AB161">
            <v>0</v>
          </cell>
        </row>
        <row r="162">
          <cell r="X162">
            <v>0</v>
          </cell>
          <cell r="Y162">
            <v>0</v>
          </cell>
          <cell r="AA162">
            <v>0</v>
          </cell>
          <cell r="AB162">
            <v>0</v>
          </cell>
        </row>
        <row r="163">
          <cell r="X163">
            <v>0</v>
          </cell>
          <cell r="Y163">
            <v>0</v>
          </cell>
          <cell r="AA163">
            <v>0</v>
          </cell>
          <cell r="AB163">
            <v>0</v>
          </cell>
        </row>
        <row r="164">
          <cell r="X164">
            <v>0</v>
          </cell>
          <cell r="Y164">
            <v>0</v>
          </cell>
          <cell r="AA164">
            <v>0</v>
          </cell>
          <cell r="AB164">
            <v>0</v>
          </cell>
        </row>
        <row r="165">
          <cell r="X165">
            <v>0</v>
          </cell>
          <cell r="Y165">
            <v>0</v>
          </cell>
          <cell r="AA165">
            <v>0</v>
          </cell>
          <cell r="AB165">
            <v>0</v>
          </cell>
        </row>
        <row r="166">
          <cell r="X166">
            <v>0</v>
          </cell>
          <cell r="Y166">
            <v>0</v>
          </cell>
          <cell r="AA166">
            <v>0</v>
          </cell>
          <cell r="AB166">
            <v>0</v>
          </cell>
        </row>
        <row r="167">
          <cell r="X167">
            <v>0</v>
          </cell>
          <cell r="Y167">
            <v>0</v>
          </cell>
          <cell r="AA167">
            <v>0</v>
          </cell>
          <cell r="AB167">
            <v>0</v>
          </cell>
        </row>
        <row r="168">
          <cell r="X168">
            <v>0</v>
          </cell>
          <cell r="Y168">
            <v>0</v>
          </cell>
          <cell r="AA168">
            <v>0</v>
          </cell>
          <cell r="AB168">
            <v>0</v>
          </cell>
        </row>
        <row r="169">
          <cell r="X169">
            <v>0</v>
          </cell>
          <cell r="Y169">
            <v>0</v>
          </cell>
          <cell r="AA169">
            <v>0</v>
          </cell>
          <cell r="AB169">
            <v>0.28167990573240342</v>
          </cell>
        </row>
        <row r="170">
          <cell r="X170">
            <v>0</v>
          </cell>
          <cell r="Y170">
            <v>0</v>
          </cell>
          <cell r="AA170">
            <v>0</v>
          </cell>
          <cell r="AB170">
            <v>0</v>
          </cell>
        </row>
        <row r="172">
          <cell r="X172">
            <v>0</v>
          </cell>
          <cell r="Y172">
            <v>0</v>
          </cell>
          <cell r="AA172">
            <v>0</v>
          </cell>
          <cell r="AB172">
            <v>0</v>
          </cell>
        </row>
        <row r="173">
          <cell r="X173">
            <v>0</v>
          </cell>
          <cell r="Y173">
            <v>0</v>
          </cell>
          <cell r="AA173">
            <v>0</v>
          </cell>
          <cell r="AB173">
            <v>0</v>
          </cell>
        </row>
        <row r="175">
          <cell r="X175">
            <v>0</v>
          </cell>
          <cell r="Y175">
            <v>0</v>
          </cell>
          <cell r="AA175">
            <v>0</v>
          </cell>
          <cell r="AB175">
            <v>7.7316908924958767</v>
          </cell>
        </row>
        <row r="176">
          <cell r="X176">
            <v>0</v>
          </cell>
          <cell r="Y176">
            <v>0</v>
          </cell>
          <cell r="AA176">
            <v>0</v>
          </cell>
          <cell r="AB176">
            <v>29.108097258622241</v>
          </cell>
        </row>
        <row r="177">
          <cell r="X177">
            <v>0</v>
          </cell>
          <cell r="Y177">
            <v>0</v>
          </cell>
          <cell r="AA177">
            <v>0</v>
          </cell>
          <cell r="AB177">
            <v>10.296245594236542</v>
          </cell>
        </row>
        <row r="178">
          <cell r="X178">
            <v>0</v>
          </cell>
          <cell r="Y178">
            <v>0</v>
          </cell>
          <cell r="AA178">
            <v>0</v>
          </cell>
          <cell r="AB178">
            <v>10.296245594236542</v>
          </cell>
        </row>
        <row r="179">
          <cell r="X179">
            <v>0</v>
          </cell>
          <cell r="Y179">
            <v>0</v>
          </cell>
          <cell r="AA179">
            <v>0</v>
          </cell>
          <cell r="AB179">
            <v>0</v>
          </cell>
        </row>
        <row r="180">
          <cell r="X180">
            <v>0</v>
          </cell>
          <cell r="Y180">
            <v>0</v>
          </cell>
          <cell r="AA180">
            <v>0</v>
          </cell>
          <cell r="AB180">
            <v>0</v>
          </cell>
        </row>
        <row r="181">
          <cell r="X181">
            <v>0</v>
          </cell>
          <cell r="Y181">
            <v>0</v>
          </cell>
          <cell r="AA181">
            <v>0</v>
          </cell>
          <cell r="AB181">
            <v>0</v>
          </cell>
        </row>
        <row r="182">
          <cell r="X182">
            <v>0</v>
          </cell>
          <cell r="Y182">
            <v>0</v>
          </cell>
          <cell r="AA182">
            <v>0</v>
          </cell>
          <cell r="AB182">
            <v>0</v>
          </cell>
        </row>
        <row r="183">
          <cell r="X183">
            <v>0</v>
          </cell>
          <cell r="Y183">
            <v>0</v>
          </cell>
          <cell r="AA183">
            <v>0</v>
          </cell>
          <cell r="AB183">
            <v>0</v>
          </cell>
        </row>
        <row r="184">
          <cell r="X184">
            <v>0</v>
          </cell>
          <cell r="Y184">
            <v>0</v>
          </cell>
          <cell r="AA184">
            <v>0</v>
          </cell>
          <cell r="AB184">
            <v>0</v>
          </cell>
        </row>
        <row r="185">
          <cell r="X185">
            <v>0</v>
          </cell>
          <cell r="Y185">
            <v>0</v>
          </cell>
          <cell r="AA185">
            <v>0</v>
          </cell>
          <cell r="AB185">
            <v>0</v>
          </cell>
        </row>
        <row r="186">
          <cell r="X186">
            <v>0</v>
          </cell>
          <cell r="Y186">
            <v>0</v>
          </cell>
          <cell r="AA186">
            <v>0</v>
          </cell>
          <cell r="AB186">
            <v>0</v>
          </cell>
        </row>
        <row r="187">
          <cell r="X187">
            <v>0</v>
          </cell>
          <cell r="Y187">
            <v>0</v>
          </cell>
          <cell r="AA187">
            <v>0</v>
          </cell>
          <cell r="AB187">
            <v>0</v>
          </cell>
        </row>
        <row r="188">
          <cell r="X188">
            <v>0</v>
          </cell>
          <cell r="Y188">
            <v>0</v>
          </cell>
          <cell r="AA188">
            <v>0</v>
          </cell>
          <cell r="AB188">
            <v>0</v>
          </cell>
        </row>
        <row r="189">
          <cell r="X189">
            <v>0</v>
          </cell>
          <cell r="Y189">
            <v>0</v>
          </cell>
          <cell r="AA189">
            <v>0</v>
          </cell>
          <cell r="AB189">
            <v>0</v>
          </cell>
        </row>
        <row r="190">
          <cell r="X190">
            <v>0</v>
          </cell>
          <cell r="Y190">
            <v>0</v>
          </cell>
          <cell r="AA190">
            <v>0</v>
          </cell>
          <cell r="AB190">
            <v>0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F50F-DAF1-45BF-BBC0-C1E230B2DA5D}">
  <dimension ref="A1:FF195"/>
  <sheetViews>
    <sheetView tabSelected="1" workbookViewId="0">
      <selection activeCell="AC133" sqref="AC1:FE1048576"/>
    </sheetView>
  </sheetViews>
  <sheetFormatPr defaultColWidth="9.109375" defaultRowHeight="14.4"/>
  <cols>
    <col min="1" max="1" width="2.5546875" style="4" customWidth="1"/>
    <col min="2" max="2" width="11.33203125" style="4" customWidth="1"/>
    <col min="3" max="3" width="60.5546875" style="4" customWidth="1"/>
    <col min="4" max="4" width="13.88671875" style="4" customWidth="1"/>
    <col min="5" max="5" width="14.44140625" style="4" customWidth="1"/>
    <col min="6" max="6" width="11" style="4" hidden="1" customWidth="1"/>
    <col min="7" max="7" width="12.88671875" style="4" hidden="1" customWidth="1"/>
    <col min="8" max="8" width="11.88671875" style="4" hidden="1" customWidth="1"/>
    <col min="9" max="9" width="0" style="4" hidden="1" customWidth="1"/>
    <col min="10" max="10" width="11.88671875" style="4" customWidth="1"/>
    <col min="11" max="11" width="11" style="4" hidden="1" customWidth="1"/>
    <col min="12" max="12" width="0" style="4" hidden="1" customWidth="1"/>
    <col min="13" max="13" width="14.6640625" style="4" customWidth="1"/>
    <col min="14" max="14" width="12.6640625" style="4" customWidth="1"/>
    <col min="15" max="15" width="10.6640625" style="4" hidden="1" customWidth="1"/>
    <col min="16" max="16" width="10.44140625" style="4" customWidth="1"/>
    <col min="17" max="17" width="0" style="4" hidden="1" customWidth="1"/>
    <col min="18" max="18" width="13.109375" style="4" hidden="1" customWidth="1"/>
    <col min="19" max="19" width="15.109375" style="4" customWidth="1"/>
    <col min="20" max="20" width="11.109375" style="4" hidden="1" customWidth="1"/>
    <col min="21" max="21" width="0" style="4" hidden="1" customWidth="1"/>
    <col min="22" max="22" width="16.109375" style="4" hidden="1" customWidth="1"/>
    <col min="23" max="23" width="9.44140625" style="4" hidden="1" customWidth="1"/>
    <col min="24" max="24" width="10.109375" style="4" hidden="1" customWidth="1"/>
    <col min="25" max="25" width="11.88671875" style="4" hidden="1" customWidth="1"/>
    <col min="26" max="27" width="9.33203125" style="4" hidden="1" customWidth="1"/>
    <col min="28" max="28" width="16.44140625" style="4" customWidth="1"/>
    <col min="29" max="29" width="14.33203125" style="4" hidden="1" customWidth="1"/>
    <col min="30" max="30" width="11.44140625" style="4" hidden="1" customWidth="1"/>
    <col min="31" max="32" width="10.88671875" style="4" hidden="1" customWidth="1"/>
    <col min="33" max="33" width="0" style="4" hidden="1" customWidth="1"/>
    <col min="34" max="34" width="12.44140625" style="4" hidden="1" customWidth="1"/>
    <col min="35" max="35" width="10.6640625" style="4" hidden="1" customWidth="1"/>
    <col min="36" max="36" width="0" style="4" hidden="1" customWidth="1"/>
    <col min="37" max="37" width="13.109375" style="4" hidden="1" customWidth="1"/>
    <col min="38" max="38" width="11.5546875" style="4" hidden="1" customWidth="1"/>
    <col min="39" max="39" width="0" style="4" hidden="1" customWidth="1"/>
    <col min="40" max="40" width="10.33203125" style="4" hidden="1" customWidth="1"/>
    <col min="41" max="41" width="0" style="4" hidden="1" customWidth="1"/>
    <col min="42" max="42" width="16.33203125" style="4" hidden="1" customWidth="1"/>
    <col min="43" max="43" width="11.6640625" style="4" hidden="1" customWidth="1"/>
    <col min="44" max="44" width="10.33203125" style="4" hidden="1" customWidth="1"/>
    <col min="45" max="45" width="0" style="4" hidden="1" customWidth="1"/>
    <col min="46" max="46" width="15.33203125" style="4" hidden="1" customWidth="1"/>
    <col min="47" max="47" width="15.33203125" style="139" hidden="1" customWidth="1"/>
    <col min="48" max="48" width="14.33203125" style="4" hidden="1" customWidth="1"/>
    <col min="49" max="49" width="11.44140625" style="4" hidden="1" customWidth="1"/>
    <col min="50" max="51" width="10.88671875" style="4" hidden="1" customWidth="1"/>
    <col min="52" max="52" width="0" style="4" hidden="1" customWidth="1"/>
    <col min="53" max="53" width="12.44140625" style="4" hidden="1" customWidth="1"/>
    <col min="54" max="54" width="10.6640625" style="4" hidden="1" customWidth="1"/>
    <col min="55" max="55" width="0" style="4" hidden="1" customWidth="1"/>
    <col min="56" max="56" width="13.109375" style="4" hidden="1" customWidth="1"/>
    <col min="57" max="57" width="11.5546875" style="4" hidden="1" customWidth="1"/>
    <col min="58" max="58" width="0" style="4" hidden="1" customWidth="1"/>
    <col min="59" max="59" width="10.33203125" style="4" hidden="1" customWidth="1"/>
    <col min="60" max="60" width="0" style="4" hidden="1" customWidth="1"/>
    <col min="61" max="61" width="16.33203125" style="4" hidden="1" customWidth="1"/>
    <col min="62" max="62" width="11.6640625" style="4" hidden="1" customWidth="1"/>
    <col min="63" max="63" width="10.33203125" style="4" hidden="1" customWidth="1"/>
    <col min="64" max="64" width="0" style="4" hidden="1" customWidth="1"/>
    <col min="65" max="65" width="15.33203125" style="4" hidden="1" customWidth="1"/>
    <col min="66" max="66" width="15.33203125" style="139" hidden="1" customWidth="1"/>
    <col min="67" max="67" width="14.33203125" style="4" hidden="1" customWidth="1"/>
    <col min="68" max="68" width="11.44140625" style="4" hidden="1" customWidth="1"/>
    <col min="69" max="70" width="10.88671875" style="4" hidden="1" customWidth="1"/>
    <col min="71" max="71" width="0" style="4" hidden="1" customWidth="1"/>
    <col min="72" max="72" width="12.44140625" style="4" hidden="1" customWidth="1"/>
    <col min="73" max="73" width="10.6640625" style="4" hidden="1" customWidth="1"/>
    <col min="74" max="74" width="0" style="4" hidden="1" customWidth="1"/>
    <col min="75" max="75" width="13.109375" style="4" hidden="1" customWidth="1"/>
    <col min="76" max="76" width="11.5546875" style="4" hidden="1" customWidth="1"/>
    <col min="77" max="77" width="0" style="4" hidden="1" customWidth="1"/>
    <col min="78" max="78" width="10.33203125" style="4" hidden="1" customWidth="1"/>
    <col min="79" max="79" width="0" style="4" hidden="1" customWidth="1"/>
    <col min="80" max="80" width="16.33203125" style="4" hidden="1" customWidth="1"/>
    <col min="81" max="81" width="11.6640625" style="4" hidden="1" customWidth="1"/>
    <col min="82" max="82" width="10.33203125" style="4" hidden="1" customWidth="1"/>
    <col min="83" max="83" width="0" style="4" hidden="1" customWidth="1"/>
    <col min="84" max="84" width="15.33203125" style="4" hidden="1" customWidth="1"/>
    <col min="85" max="85" width="15.33203125" style="139" hidden="1" customWidth="1"/>
    <col min="86" max="86" width="14.33203125" style="4" hidden="1" customWidth="1"/>
    <col min="87" max="87" width="11.44140625" style="4" hidden="1" customWidth="1"/>
    <col min="88" max="89" width="10.88671875" style="4" hidden="1" customWidth="1"/>
    <col min="90" max="90" width="0" style="4" hidden="1" customWidth="1"/>
    <col min="91" max="91" width="12.44140625" style="4" hidden="1" customWidth="1"/>
    <col min="92" max="92" width="10.6640625" style="4" hidden="1" customWidth="1"/>
    <col min="93" max="93" width="0" style="4" hidden="1" customWidth="1"/>
    <col min="94" max="94" width="13.109375" style="4" hidden="1" customWidth="1"/>
    <col min="95" max="95" width="11.5546875" style="4" hidden="1" customWidth="1"/>
    <col min="96" max="96" width="0" style="4" hidden="1" customWidth="1"/>
    <col min="97" max="97" width="10.33203125" style="4" hidden="1" customWidth="1"/>
    <col min="98" max="98" width="0" style="4" hidden="1" customWidth="1"/>
    <col min="99" max="99" width="16.33203125" style="4" hidden="1" customWidth="1"/>
    <col min="100" max="100" width="11.6640625" style="4" hidden="1" customWidth="1"/>
    <col min="101" max="101" width="10.33203125" style="4" hidden="1" customWidth="1"/>
    <col min="102" max="102" width="0" style="4" hidden="1" customWidth="1"/>
    <col min="103" max="103" width="15.33203125" style="4" hidden="1" customWidth="1"/>
    <col min="104" max="104" width="15.33203125" style="139" hidden="1" customWidth="1"/>
    <col min="105" max="105" width="14.33203125" style="4" hidden="1" customWidth="1"/>
    <col min="106" max="106" width="11.44140625" style="4" hidden="1" customWidth="1"/>
    <col min="107" max="108" width="10.88671875" style="4" hidden="1" customWidth="1"/>
    <col min="109" max="109" width="0" style="4" hidden="1" customWidth="1"/>
    <col min="110" max="110" width="12.44140625" style="4" hidden="1" customWidth="1"/>
    <col min="111" max="111" width="10.6640625" style="4" hidden="1" customWidth="1"/>
    <col min="112" max="112" width="0" style="4" hidden="1" customWidth="1"/>
    <col min="113" max="113" width="13.109375" style="4" hidden="1" customWidth="1"/>
    <col min="114" max="114" width="11.5546875" style="4" hidden="1" customWidth="1"/>
    <col min="115" max="115" width="0" style="4" hidden="1" customWidth="1"/>
    <col min="116" max="116" width="10.33203125" style="4" hidden="1" customWidth="1"/>
    <col min="117" max="117" width="0" style="4" hidden="1" customWidth="1"/>
    <col min="118" max="118" width="16.33203125" style="4" hidden="1" customWidth="1"/>
    <col min="119" max="119" width="11.6640625" style="4" hidden="1" customWidth="1"/>
    <col min="120" max="120" width="10.33203125" style="4" hidden="1" customWidth="1"/>
    <col min="121" max="121" width="0" style="4" hidden="1" customWidth="1"/>
    <col min="122" max="122" width="15.33203125" style="4" hidden="1" customWidth="1"/>
    <col min="123" max="123" width="15.33203125" style="139" hidden="1" customWidth="1"/>
    <col min="124" max="124" width="14.33203125" style="4" hidden="1" customWidth="1"/>
    <col min="125" max="125" width="11.44140625" style="4" hidden="1" customWidth="1"/>
    <col min="126" max="127" width="10.88671875" style="4" hidden="1" customWidth="1"/>
    <col min="128" max="128" width="0" style="4" hidden="1" customWidth="1"/>
    <col min="129" max="129" width="12.44140625" style="4" hidden="1" customWidth="1"/>
    <col min="130" max="130" width="10.6640625" style="4" hidden="1" customWidth="1"/>
    <col min="131" max="131" width="0" style="4" hidden="1" customWidth="1"/>
    <col min="132" max="132" width="13.109375" style="4" hidden="1" customWidth="1"/>
    <col min="133" max="133" width="11.5546875" style="4" hidden="1" customWidth="1"/>
    <col min="134" max="134" width="0" style="4" hidden="1" customWidth="1"/>
    <col min="135" max="135" width="10.33203125" style="4" hidden="1" customWidth="1"/>
    <col min="136" max="136" width="0" style="4" hidden="1" customWidth="1"/>
    <col min="137" max="137" width="16.33203125" style="4" hidden="1" customWidth="1"/>
    <col min="138" max="138" width="11.6640625" style="4" hidden="1" customWidth="1"/>
    <col min="139" max="139" width="10.33203125" style="4" hidden="1" customWidth="1"/>
    <col min="140" max="140" width="0" style="4" hidden="1" customWidth="1"/>
    <col min="141" max="141" width="15.33203125" style="4" hidden="1" customWidth="1"/>
    <col min="142" max="142" width="15.33203125" style="139" hidden="1" customWidth="1"/>
    <col min="143" max="143" width="14.33203125" style="4" hidden="1" customWidth="1"/>
    <col min="144" max="144" width="11.44140625" style="4" hidden="1" customWidth="1"/>
    <col min="145" max="146" width="10.88671875" style="4" hidden="1" customWidth="1"/>
    <col min="147" max="147" width="0" style="4" hidden="1" customWidth="1"/>
    <col min="148" max="148" width="12.44140625" style="4" hidden="1" customWidth="1"/>
    <col min="149" max="149" width="10.6640625" style="4" hidden="1" customWidth="1"/>
    <col min="150" max="150" width="0" style="4" hidden="1" customWidth="1"/>
    <col min="151" max="151" width="13.109375" style="4" hidden="1" customWidth="1"/>
    <col min="152" max="152" width="11.5546875" style="4" hidden="1" customWidth="1"/>
    <col min="153" max="153" width="0" style="4" hidden="1" customWidth="1"/>
    <col min="154" max="154" width="10.33203125" style="4" hidden="1" customWidth="1"/>
    <col min="155" max="155" width="0" style="4" hidden="1" customWidth="1"/>
    <col min="156" max="156" width="16.33203125" style="4" hidden="1" customWidth="1"/>
    <col min="157" max="157" width="11.6640625" style="4" hidden="1" customWidth="1"/>
    <col min="158" max="158" width="10.33203125" style="4" hidden="1" customWidth="1"/>
    <col min="159" max="159" width="0" style="4" hidden="1" customWidth="1"/>
    <col min="160" max="160" width="15.33203125" style="4" hidden="1" customWidth="1"/>
    <col min="161" max="161" width="15.33203125" style="139" hidden="1" customWidth="1"/>
    <col min="162" max="16384" width="9.109375" style="4"/>
  </cols>
  <sheetData>
    <row r="1" spans="1:161" ht="1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3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3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3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3"/>
    </row>
    <row r="2" spans="1:161" ht="15" thickBo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3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3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3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3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3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3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3"/>
    </row>
    <row r="3" spans="1:161" ht="1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3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3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3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3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3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3"/>
    </row>
    <row r="4" spans="1:161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3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3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3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3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3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3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3"/>
    </row>
    <row r="5" spans="1:161" ht="15" thickBot="1">
      <c r="A5" s="5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3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3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3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3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3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3"/>
    </row>
    <row r="6" spans="1:161" ht="1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3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3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3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3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3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3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3"/>
    </row>
    <row r="7" spans="1:161" s="6" customFormat="1" ht="15.6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AU7" s="8"/>
      <c r="BN7" s="8"/>
      <c r="CG7" s="8"/>
      <c r="CZ7" s="8"/>
      <c r="DS7" s="8"/>
      <c r="EL7" s="8"/>
      <c r="FE7" s="8"/>
    </row>
    <row r="8" spans="1:161" s="6" customFormat="1" ht="13.8" thickBot="1">
      <c r="AU8" s="8"/>
      <c r="BN8" s="8"/>
      <c r="CG8" s="8"/>
      <c r="CZ8" s="8"/>
      <c r="DS8" s="8"/>
      <c r="EL8" s="8"/>
      <c r="EW8" s="9" t="s">
        <v>3</v>
      </c>
      <c r="EX8" s="9"/>
      <c r="EY8" s="9"/>
      <c r="EZ8" s="9"/>
      <c r="FA8" s="9"/>
      <c r="FB8" s="9"/>
      <c r="FC8" s="9"/>
      <c r="FD8" s="9"/>
      <c r="FE8" s="10"/>
    </row>
    <row r="9" spans="1:161" s="11" customFormat="1" ht="14.7" customHeight="1">
      <c r="B9" s="12" t="s">
        <v>4</v>
      </c>
      <c r="C9" s="13"/>
      <c r="D9" s="14" t="s">
        <v>5</v>
      </c>
      <c r="E9" s="15" t="s">
        <v>6</v>
      </c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8" t="str">
        <f>SIS062_D_Cstsistema1</f>
        <v>CŠT sistema 1</v>
      </c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21" t="str">
        <f>SIS062_D_Cstsistema2</f>
        <v>CŠT sistema 2</v>
      </c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3"/>
      <c r="BO9" s="21" t="str">
        <f>SIS062_D_Cstsistema3</f>
        <v>CŠT sistema 3</v>
      </c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3"/>
      <c r="CH9" s="21" t="str">
        <f>SIS062_D_Cstsistema4</f>
        <v>CŠT sistema 4</v>
      </c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3"/>
      <c r="DA9" s="21" t="str">
        <f>SIS062_D_Cstsistema5</f>
        <v>CŠT sistema 5</v>
      </c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3"/>
      <c r="DT9" s="21" t="str">
        <f>SIS062_D_Cstsistema6</f>
        <v>CŠT sistema 6</v>
      </c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3"/>
      <c r="EM9" s="21" t="str">
        <f>SIS062_D_Cstsistema7</f>
        <v>CŠT sistema 7</v>
      </c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3"/>
    </row>
    <row r="10" spans="1:161" s="11" customFormat="1" ht="13.2" customHeight="1">
      <c r="B10" s="24"/>
      <c r="C10" s="25"/>
      <c r="D10" s="26"/>
      <c r="E10" s="27" t="s">
        <v>7</v>
      </c>
      <c r="F10" s="28"/>
      <c r="G10" s="28"/>
      <c r="H10" s="28"/>
      <c r="I10" s="29"/>
      <c r="J10" s="29" t="s">
        <v>8</v>
      </c>
      <c r="K10" s="29"/>
      <c r="L10" s="29"/>
      <c r="M10" s="29" t="s">
        <v>9</v>
      </c>
      <c r="N10" s="29" t="s">
        <v>10</v>
      </c>
      <c r="O10" s="29"/>
      <c r="P10" s="29"/>
      <c r="Q10" s="29"/>
      <c r="R10" s="30" t="s">
        <v>11</v>
      </c>
      <c r="S10" s="29" t="s">
        <v>12</v>
      </c>
      <c r="T10" s="29"/>
      <c r="U10" s="29"/>
      <c r="V10" s="29" t="s">
        <v>13</v>
      </c>
      <c r="W10" s="29" t="s">
        <v>14</v>
      </c>
      <c r="X10" s="29"/>
      <c r="Y10" s="29"/>
      <c r="Z10" s="31" t="s">
        <v>15</v>
      </c>
      <c r="AA10" s="32"/>
      <c r="AB10" s="33"/>
      <c r="AC10" s="27" t="s">
        <v>7</v>
      </c>
      <c r="AD10" s="28"/>
      <c r="AE10" s="28"/>
      <c r="AF10" s="28"/>
      <c r="AG10" s="29"/>
      <c r="AH10" s="29" t="s">
        <v>8</v>
      </c>
      <c r="AI10" s="29"/>
      <c r="AJ10" s="29"/>
      <c r="AK10" s="29" t="s">
        <v>9</v>
      </c>
      <c r="AL10" s="29" t="s">
        <v>10</v>
      </c>
      <c r="AM10" s="29"/>
      <c r="AN10" s="29"/>
      <c r="AO10" s="29"/>
      <c r="AP10" s="30" t="s">
        <v>11</v>
      </c>
      <c r="AQ10" s="29" t="s">
        <v>12</v>
      </c>
      <c r="AR10" s="29"/>
      <c r="AS10" s="29"/>
      <c r="AT10" s="29" t="s">
        <v>13</v>
      </c>
      <c r="AU10" s="34" t="s">
        <v>15</v>
      </c>
      <c r="AV10" s="27" t="s">
        <v>7</v>
      </c>
      <c r="AW10" s="28"/>
      <c r="AX10" s="28"/>
      <c r="AY10" s="28"/>
      <c r="AZ10" s="29"/>
      <c r="BA10" s="29" t="s">
        <v>8</v>
      </c>
      <c r="BB10" s="29"/>
      <c r="BC10" s="29"/>
      <c r="BD10" s="29" t="s">
        <v>9</v>
      </c>
      <c r="BE10" s="29" t="s">
        <v>10</v>
      </c>
      <c r="BF10" s="29"/>
      <c r="BG10" s="29"/>
      <c r="BH10" s="29"/>
      <c r="BI10" s="30" t="s">
        <v>11</v>
      </c>
      <c r="BJ10" s="29" t="s">
        <v>12</v>
      </c>
      <c r="BK10" s="29"/>
      <c r="BL10" s="29"/>
      <c r="BM10" s="29" t="s">
        <v>13</v>
      </c>
      <c r="BN10" s="33" t="s">
        <v>15</v>
      </c>
      <c r="BO10" s="27" t="s">
        <v>7</v>
      </c>
      <c r="BP10" s="28"/>
      <c r="BQ10" s="28"/>
      <c r="BR10" s="28"/>
      <c r="BS10" s="29"/>
      <c r="BT10" s="29" t="s">
        <v>8</v>
      </c>
      <c r="BU10" s="29"/>
      <c r="BV10" s="29"/>
      <c r="BW10" s="29" t="s">
        <v>9</v>
      </c>
      <c r="BX10" s="29" t="s">
        <v>10</v>
      </c>
      <c r="BY10" s="29"/>
      <c r="BZ10" s="29"/>
      <c r="CA10" s="29"/>
      <c r="CB10" s="30" t="s">
        <v>11</v>
      </c>
      <c r="CC10" s="29" t="s">
        <v>12</v>
      </c>
      <c r="CD10" s="29"/>
      <c r="CE10" s="29"/>
      <c r="CF10" s="29" t="s">
        <v>13</v>
      </c>
      <c r="CG10" s="33" t="s">
        <v>15</v>
      </c>
      <c r="CH10" s="27" t="s">
        <v>7</v>
      </c>
      <c r="CI10" s="28"/>
      <c r="CJ10" s="28"/>
      <c r="CK10" s="28"/>
      <c r="CL10" s="29"/>
      <c r="CM10" s="29" t="s">
        <v>8</v>
      </c>
      <c r="CN10" s="29"/>
      <c r="CO10" s="29"/>
      <c r="CP10" s="29" t="s">
        <v>9</v>
      </c>
      <c r="CQ10" s="29" t="s">
        <v>10</v>
      </c>
      <c r="CR10" s="29"/>
      <c r="CS10" s="29"/>
      <c r="CT10" s="29"/>
      <c r="CU10" s="30" t="s">
        <v>11</v>
      </c>
      <c r="CV10" s="29" t="s">
        <v>12</v>
      </c>
      <c r="CW10" s="29"/>
      <c r="CX10" s="29"/>
      <c r="CY10" s="29" t="s">
        <v>13</v>
      </c>
      <c r="CZ10" s="33" t="s">
        <v>15</v>
      </c>
      <c r="DA10" s="27" t="s">
        <v>7</v>
      </c>
      <c r="DB10" s="28"/>
      <c r="DC10" s="28"/>
      <c r="DD10" s="28"/>
      <c r="DE10" s="29"/>
      <c r="DF10" s="29" t="s">
        <v>8</v>
      </c>
      <c r="DG10" s="29"/>
      <c r="DH10" s="29"/>
      <c r="DI10" s="29" t="s">
        <v>9</v>
      </c>
      <c r="DJ10" s="29" t="s">
        <v>10</v>
      </c>
      <c r="DK10" s="29"/>
      <c r="DL10" s="29"/>
      <c r="DM10" s="29"/>
      <c r="DN10" s="30" t="s">
        <v>11</v>
      </c>
      <c r="DO10" s="29" t="s">
        <v>12</v>
      </c>
      <c r="DP10" s="29"/>
      <c r="DQ10" s="29"/>
      <c r="DR10" s="29" t="s">
        <v>13</v>
      </c>
      <c r="DS10" s="33" t="s">
        <v>15</v>
      </c>
      <c r="DT10" s="27" t="s">
        <v>7</v>
      </c>
      <c r="DU10" s="28"/>
      <c r="DV10" s="28"/>
      <c r="DW10" s="28"/>
      <c r="DX10" s="29"/>
      <c r="DY10" s="29" t="s">
        <v>8</v>
      </c>
      <c r="DZ10" s="29"/>
      <c r="EA10" s="29"/>
      <c r="EB10" s="30" t="s">
        <v>9</v>
      </c>
      <c r="EC10" s="29" t="s">
        <v>10</v>
      </c>
      <c r="ED10" s="29"/>
      <c r="EE10" s="29"/>
      <c r="EF10" s="29"/>
      <c r="EG10" s="30" t="s">
        <v>11</v>
      </c>
      <c r="EH10" s="29" t="s">
        <v>12</v>
      </c>
      <c r="EI10" s="29"/>
      <c r="EJ10" s="29"/>
      <c r="EK10" s="29" t="s">
        <v>13</v>
      </c>
      <c r="EL10" s="33" t="s">
        <v>15</v>
      </c>
      <c r="EM10" s="27" t="s">
        <v>7</v>
      </c>
      <c r="EN10" s="28"/>
      <c r="EO10" s="28"/>
      <c r="EP10" s="28"/>
      <c r="EQ10" s="29"/>
      <c r="ER10" s="29" t="s">
        <v>8</v>
      </c>
      <c r="ES10" s="29"/>
      <c r="ET10" s="29"/>
      <c r="EU10" s="30" t="s">
        <v>9</v>
      </c>
      <c r="EV10" s="29" t="s">
        <v>10</v>
      </c>
      <c r="EW10" s="29"/>
      <c r="EX10" s="29"/>
      <c r="EY10" s="29"/>
      <c r="EZ10" s="30" t="s">
        <v>11</v>
      </c>
      <c r="FA10" s="29" t="s">
        <v>12</v>
      </c>
      <c r="FB10" s="29"/>
      <c r="FC10" s="29"/>
      <c r="FD10" s="29" t="s">
        <v>13</v>
      </c>
      <c r="FE10" s="34" t="s">
        <v>15</v>
      </c>
    </row>
    <row r="11" spans="1:161" s="11" customFormat="1" ht="13.2">
      <c r="B11" s="24"/>
      <c r="C11" s="25"/>
      <c r="D11" s="26"/>
      <c r="E11" s="27"/>
      <c r="F11" s="28"/>
      <c r="G11" s="28"/>
      <c r="H11" s="28"/>
      <c r="I11" s="29"/>
      <c r="J11" s="29"/>
      <c r="K11" s="29"/>
      <c r="L11" s="29"/>
      <c r="M11" s="29"/>
      <c r="N11" s="29"/>
      <c r="O11" s="29"/>
      <c r="P11" s="29"/>
      <c r="Q11" s="29"/>
      <c r="R11" s="35"/>
      <c r="S11" s="29"/>
      <c r="T11" s="29"/>
      <c r="U11" s="29"/>
      <c r="V11" s="29"/>
      <c r="W11" s="29"/>
      <c r="X11" s="29"/>
      <c r="Y11" s="29"/>
      <c r="Z11" s="36"/>
      <c r="AA11" s="37"/>
      <c r="AB11" s="38"/>
      <c r="AC11" s="27"/>
      <c r="AD11" s="28"/>
      <c r="AE11" s="28"/>
      <c r="AF11" s="28"/>
      <c r="AG11" s="29"/>
      <c r="AH11" s="29"/>
      <c r="AI11" s="29"/>
      <c r="AJ11" s="29"/>
      <c r="AK11" s="29"/>
      <c r="AL11" s="29"/>
      <c r="AM11" s="29"/>
      <c r="AN11" s="29"/>
      <c r="AO11" s="29"/>
      <c r="AP11" s="35"/>
      <c r="AQ11" s="29"/>
      <c r="AR11" s="29"/>
      <c r="AS11" s="29"/>
      <c r="AT11" s="29"/>
      <c r="AU11" s="39"/>
      <c r="AV11" s="27"/>
      <c r="AW11" s="28"/>
      <c r="AX11" s="28"/>
      <c r="AY11" s="28"/>
      <c r="AZ11" s="29"/>
      <c r="BA11" s="29"/>
      <c r="BB11" s="29"/>
      <c r="BC11" s="29"/>
      <c r="BD11" s="29"/>
      <c r="BE11" s="29"/>
      <c r="BF11" s="29"/>
      <c r="BG11" s="29"/>
      <c r="BH11" s="29"/>
      <c r="BI11" s="35"/>
      <c r="BJ11" s="29"/>
      <c r="BK11" s="29"/>
      <c r="BL11" s="29"/>
      <c r="BM11" s="29"/>
      <c r="BN11" s="38"/>
      <c r="BO11" s="27"/>
      <c r="BP11" s="28"/>
      <c r="BQ11" s="28"/>
      <c r="BR11" s="28"/>
      <c r="BS11" s="29"/>
      <c r="BT11" s="29"/>
      <c r="BU11" s="29"/>
      <c r="BV11" s="29"/>
      <c r="BW11" s="29"/>
      <c r="BX11" s="29"/>
      <c r="BY11" s="29"/>
      <c r="BZ11" s="29"/>
      <c r="CA11" s="29"/>
      <c r="CB11" s="35"/>
      <c r="CC11" s="29"/>
      <c r="CD11" s="29"/>
      <c r="CE11" s="29"/>
      <c r="CF11" s="29"/>
      <c r="CG11" s="38"/>
      <c r="CH11" s="27"/>
      <c r="CI11" s="28"/>
      <c r="CJ11" s="28"/>
      <c r="CK11" s="28"/>
      <c r="CL11" s="29"/>
      <c r="CM11" s="29"/>
      <c r="CN11" s="29"/>
      <c r="CO11" s="29"/>
      <c r="CP11" s="29"/>
      <c r="CQ11" s="29"/>
      <c r="CR11" s="29"/>
      <c r="CS11" s="29"/>
      <c r="CT11" s="29"/>
      <c r="CU11" s="35"/>
      <c r="CV11" s="29"/>
      <c r="CW11" s="29"/>
      <c r="CX11" s="29"/>
      <c r="CY11" s="29"/>
      <c r="CZ11" s="38"/>
      <c r="DA11" s="27"/>
      <c r="DB11" s="28"/>
      <c r="DC11" s="28"/>
      <c r="DD11" s="28"/>
      <c r="DE11" s="29"/>
      <c r="DF11" s="29"/>
      <c r="DG11" s="29"/>
      <c r="DH11" s="29"/>
      <c r="DI11" s="29"/>
      <c r="DJ11" s="29"/>
      <c r="DK11" s="29"/>
      <c r="DL11" s="29"/>
      <c r="DM11" s="29"/>
      <c r="DN11" s="35"/>
      <c r="DO11" s="29"/>
      <c r="DP11" s="29"/>
      <c r="DQ11" s="29"/>
      <c r="DR11" s="29"/>
      <c r="DS11" s="38"/>
      <c r="DT11" s="27"/>
      <c r="DU11" s="28"/>
      <c r="DV11" s="28"/>
      <c r="DW11" s="28"/>
      <c r="DX11" s="29"/>
      <c r="DY11" s="29"/>
      <c r="DZ11" s="29"/>
      <c r="EA11" s="29"/>
      <c r="EB11" s="35"/>
      <c r="EC11" s="29"/>
      <c r="ED11" s="29"/>
      <c r="EE11" s="29"/>
      <c r="EF11" s="29"/>
      <c r="EG11" s="35"/>
      <c r="EH11" s="29"/>
      <c r="EI11" s="29"/>
      <c r="EJ11" s="29"/>
      <c r="EK11" s="29"/>
      <c r="EL11" s="38"/>
      <c r="EM11" s="27"/>
      <c r="EN11" s="28"/>
      <c r="EO11" s="28"/>
      <c r="EP11" s="28"/>
      <c r="EQ11" s="29"/>
      <c r="ER11" s="29"/>
      <c r="ES11" s="29"/>
      <c r="ET11" s="29"/>
      <c r="EU11" s="35"/>
      <c r="EV11" s="29"/>
      <c r="EW11" s="29"/>
      <c r="EX11" s="29"/>
      <c r="EY11" s="29"/>
      <c r="EZ11" s="35"/>
      <c r="FA11" s="29"/>
      <c r="FB11" s="29"/>
      <c r="FC11" s="29"/>
      <c r="FD11" s="29"/>
      <c r="FE11" s="39"/>
    </row>
    <row r="12" spans="1:161" s="11" customFormat="1" ht="59.25" customHeight="1">
      <c r="B12" s="24"/>
      <c r="C12" s="25"/>
      <c r="D12" s="26"/>
      <c r="E12" s="27"/>
      <c r="F12" s="28"/>
      <c r="G12" s="28"/>
      <c r="H12" s="28"/>
      <c r="I12" s="29"/>
      <c r="J12" s="29"/>
      <c r="K12" s="29"/>
      <c r="L12" s="29"/>
      <c r="M12" s="29"/>
      <c r="N12" s="29"/>
      <c r="O12" s="29"/>
      <c r="P12" s="29"/>
      <c r="Q12" s="29"/>
      <c r="R12" s="40"/>
      <c r="S12" s="29"/>
      <c r="T12" s="29"/>
      <c r="U12" s="29"/>
      <c r="V12" s="29"/>
      <c r="W12" s="29"/>
      <c r="X12" s="29"/>
      <c r="Y12" s="29"/>
      <c r="Z12" s="41"/>
      <c r="AA12" s="42"/>
      <c r="AB12" s="43"/>
      <c r="AC12" s="27"/>
      <c r="AD12" s="28"/>
      <c r="AE12" s="28"/>
      <c r="AF12" s="28"/>
      <c r="AG12" s="29"/>
      <c r="AH12" s="29"/>
      <c r="AI12" s="29"/>
      <c r="AJ12" s="29"/>
      <c r="AK12" s="29"/>
      <c r="AL12" s="29"/>
      <c r="AM12" s="29"/>
      <c r="AN12" s="29"/>
      <c r="AO12" s="29"/>
      <c r="AP12" s="40"/>
      <c r="AQ12" s="29"/>
      <c r="AR12" s="29"/>
      <c r="AS12" s="29"/>
      <c r="AT12" s="29"/>
      <c r="AU12" s="44"/>
      <c r="AV12" s="27"/>
      <c r="AW12" s="28"/>
      <c r="AX12" s="28"/>
      <c r="AY12" s="28"/>
      <c r="AZ12" s="29"/>
      <c r="BA12" s="29"/>
      <c r="BB12" s="29"/>
      <c r="BC12" s="29"/>
      <c r="BD12" s="29"/>
      <c r="BE12" s="29"/>
      <c r="BF12" s="29"/>
      <c r="BG12" s="29"/>
      <c r="BH12" s="29"/>
      <c r="BI12" s="40"/>
      <c r="BJ12" s="29"/>
      <c r="BK12" s="29"/>
      <c r="BL12" s="29"/>
      <c r="BM12" s="29"/>
      <c r="BN12" s="43"/>
      <c r="BO12" s="27"/>
      <c r="BP12" s="28"/>
      <c r="BQ12" s="28"/>
      <c r="BR12" s="28"/>
      <c r="BS12" s="29"/>
      <c r="BT12" s="29"/>
      <c r="BU12" s="29"/>
      <c r="BV12" s="29"/>
      <c r="BW12" s="29"/>
      <c r="BX12" s="29"/>
      <c r="BY12" s="29"/>
      <c r="BZ12" s="29"/>
      <c r="CA12" s="29"/>
      <c r="CB12" s="40"/>
      <c r="CC12" s="29"/>
      <c r="CD12" s="29"/>
      <c r="CE12" s="29"/>
      <c r="CF12" s="29"/>
      <c r="CG12" s="43"/>
      <c r="CH12" s="27"/>
      <c r="CI12" s="28"/>
      <c r="CJ12" s="28"/>
      <c r="CK12" s="28"/>
      <c r="CL12" s="29"/>
      <c r="CM12" s="29"/>
      <c r="CN12" s="29"/>
      <c r="CO12" s="29"/>
      <c r="CP12" s="29"/>
      <c r="CQ12" s="29"/>
      <c r="CR12" s="29"/>
      <c r="CS12" s="29"/>
      <c r="CT12" s="29"/>
      <c r="CU12" s="40"/>
      <c r="CV12" s="29"/>
      <c r="CW12" s="29"/>
      <c r="CX12" s="29"/>
      <c r="CY12" s="29"/>
      <c r="CZ12" s="43"/>
      <c r="DA12" s="27"/>
      <c r="DB12" s="28"/>
      <c r="DC12" s="28"/>
      <c r="DD12" s="28"/>
      <c r="DE12" s="29"/>
      <c r="DF12" s="29"/>
      <c r="DG12" s="29"/>
      <c r="DH12" s="29"/>
      <c r="DI12" s="29"/>
      <c r="DJ12" s="29"/>
      <c r="DK12" s="29"/>
      <c r="DL12" s="29"/>
      <c r="DM12" s="29"/>
      <c r="DN12" s="40"/>
      <c r="DO12" s="29"/>
      <c r="DP12" s="29"/>
      <c r="DQ12" s="29"/>
      <c r="DR12" s="29"/>
      <c r="DS12" s="43"/>
      <c r="DT12" s="27"/>
      <c r="DU12" s="28"/>
      <c r="DV12" s="28"/>
      <c r="DW12" s="28"/>
      <c r="DX12" s="29"/>
      <c r="DY12" s="29"/>
      <c r="DZ12" s="29"/>
      <c r="EA12" s="29"/>
      <c r="EB12" s="40"/>
      <c r="EC12" s="29"/>
      <c r="ED12" s="29"/>
      <c r="EE12" s="29"/>
      <c r="EF12" s="29"/>
      <c r="EG12" s="40"/>
      <c r="EH12" s="29"/>
      <c r="EI12" s="29"/>
      <c r="EJ12" s="29"/>
      <c r="EK12" s="29"/>
      <c r="EL12" s="43"/>
      <c r="EM12" s="27"/>
      <c r="EN12" s="28"/>
      <c r="EO12" s="28"/>
      <c r="EP12" s="28"/>
      <c r="EQ12" s="29"/>
      <c r="ER12" s="29"/>
      <c r="ES12" s="29"/>
      <c r="ET12" s="29"/>
      <c r="EU12" s="40"/>
      <c r="EV12" s="29"/>
      <c r="EW12" s="29"/>
      <c r="EX12" s="29"/>
      <c r="EY12" s="29"/>
      <c r="EZ12" s="40"/>
      <c r="FA12" s="29"/>
      <c r="FB12" s="29"/>
      <c r="FC12" s="29"/>
      <c r="FD12" s="29"/>
      <c r="FE12" s="44"/>
    </row>
    <row r="13" spans="1:161" s="11" customFormat="1" ht="13.2" customHeight="1">
      <c r="B13" s="24"/>
      <c r="C13" s="25"/>
      <c r="D13" s="26"/>
      <c r="E13" s="45" t="s">
        <v>16</v>
      </c>
      <c r="F13" s="46"/>
      <c r="G13" s="47" t="s">
        <v>17</v>
      </c>
      <c r="H13" s="46"/>
      <c r="I13" s="48" t="str">
        <f>SIS062_D_Paslaugaproduk1</f>
        <v xml:space="preserve">... paslauga (produktas) </v>
      </c>
      <c r="J13" s="49" t="s">
        <v>18</v>
      </c>
      <c r="K13" s="49" t="s">
        <v>19</v>
      </c>
      <c r="L13" s="49" t="str">
        <f>SIS062_D_Paslaugaproduk2</f>
        <v xml:space="preserve">... paslauga (produktas) </v>
      </c>
      <c r="M13" s="48" t="str">
        <f>SIS062_D_Paslaugaproduk3</f>
        <v xml:space="preserve">... paslauga (produktas) </v>
      </c>
      <c r="N13" s="49" t="s">
        <v>20</v>
      </c>
      <c r="O13" s="48" t="s">
        <v>21</v>
      </c>
      <c r="P13" s="48" t="s">
        <v>22</v>
      </c>
      <c r="Q13" s="49" t="str">
        <f>SIS062_D_Paslaugaproduk4</f>
        <v xml:space="preserve">... paslauga (produktas) </v>
      </c>
      <c r="R13" s="50" t="str">
        <f>SIS062_D_Paslaugaproduk5</f>
        <v xml:space="preserve">... paslauga (produktas) </v>
      </c>
      <c r="S13" s="49" t="s">
        <v>23</v>
      </c>
      <c r="T13" s="49" t="s">
        <v>24</v>
      </c>
      <c r="U13" s="49" t="str">
        <f>SIS062_D_Paslaugaproduk6</f>
        <v xml:space="preserve">... paslauga (produktas) </v>
      </c>
      <c r="V13" s="49" t="str">
        <f>SIS062_D_Paslaugaproduk7</f>
        <v xml:space="preserve">... paslauga (produktas) </v>
      </c>
      <c r="W13" s="49" t="s">
        <v>25</v>
      </c>
      <c r="X13" s="49" t="s">
        <v>26</v>
      </c>
      <c r="Y13" s="49" t="str">
        <f>SIS062_D_Paslaugaproduk8</f>
        <v xml:space="preserve">... paslauga (produktas) </v>
      </c>
      <c r="Z13" s="49" t="s">
        <v>25</v>
      </c>
      <c r="AA13" s="48" t="s">
        <v>27</v>
      </c>
      <c r="AB13" s="51" t="str">
        <f>SIS062_D_Paslaugaproduk9</f>
        <v xml:space="preserve">... paslauga (produktas) </v>
      </c>
      <c r="AC13" s="45" t="s">
        <v>16</v>
      </c>
      <c r="AD13" s="46"/>
      <c r="AE13" s="47" t="s">
        <v>17</v>
      </c>
      <c r="AF13" s="46"/>
      <c r="AG13" s="48" t="str">
        <f>SIS062_D_Paslaugaproduk10</f>
        <v xml:space="preserve">... paslauga (produktas) </v>
      </c>
      <c r="AH13" s="49" t="s">
        <v>18</v>
      </c>
      <c r="AI13" s="49" t="s">
        <v>19</v>
      </c>
      <c r="AJ13" s="49" t="str">
        <f>SIS062_D_Paslaugaproduk11</f>
        <v xml:space="preserve">... paslauga (produktas) </v>
      </c>
      <c r="AK13" s="48" t="str">
        <f>SIS062_D_Paslaugaproduk12</f>
        <v xml:space="preserve">... paslauga (produktas) </v>
      </c>
      <c r="AL13" s="49" t="s">
        <v>20</v>
      </c>
      <c r="AM13" s="48" t="s">
        <v>21</v>
      </c>
      <c r="AN13" s="48" t="s">
        <v>22</v>
      </c>
      <c r="AO13" s="49" t="str">
        <f>SIS062_D_Paslaugaproduk13</f>
        <v xml:space="preserve">... paslauga (produktas) </v>
      </c>
      <c r="AP13" s="50" t="str">
        <f>SIS062_D_Paslaugaproduk14</f>
        <v xml:space="preserve">... paslauga (produktas) </v>
      </c>
      <c r="AQ13" s="49" t="s">
        <v>23</v>
      </c>
      <c r="AR13" s="49" t="s">
        <v>24</v>
      </c>
      <c r="AS13" s="49" t="str">
        <f>SIS062_D_Paslaugaproduk15</f>
        <v xml:space="preserve">... paslauga (produktas) </v>
      </c>
      <c r="AT13" s="49" t="str">
        <f>SIS062_D_Paslaugaproduk16</f>
        <v xml:space="preserve">... paslauga (produktas) </v>
      </c>
      <c r="AU13" s="52" t="s">
        <v>27</v>
      </c>
      <c r="AV13" s="45" t="s">
        <v>16</v>
      </c>
      <c r="AW13" s="46"/>
      <c r="AX13" s="47" t="s">
        <v>17</v>
      </c>
      <c r="AY13" s="46"/>
      <c r="AZ13" s="48" t="str">
        <f>SIS062_D_Paslaugaproduk17</f>
        <v xml:space="preserve">... paslauga (produktas) </v>
      </c>
      <c r="BA13" s="49" t="s">
        <v>18</v>
      </c>
      <c r="BB13" s="49" t="s">
        <v>19</v>
      </c>
      <c r="BC13" s="49" t="str">
        <f>SIS062_D_Paslaugaproduk18</f>
        <v xml:space="preserve">... paslauga (produktas) </v>
      </c>
      <c r="BD13" s="48" t="str">
        <f>SIS062_D_Paslaugaproduk19</f>
        <v xml:space="preserve">... paslauga (produktas) </v>
      </c>
      <c r="BE13" s="49" t="s">
        <v>20</v>
      </c>
      <c r="BF13" s="48" t="s">
        <v>21</v>
      </c>
      <c r="BG13" s="48" t="s">
        <v>22</v>
      </c>
      <c r="BH13" s="49" t="str">
        <f>SIS062_D_Paslaugaproduk20</f>
        <v xml:space="preserve">... paslauga (produktas) </v>
      </c>
      <c r="BI13" s="50" t="str">
        <f>SIS062_D_Paslaugaproduk21</f>
        <v xml:space="preserve">... paslauga (produktas) </v>
      </c>
      <c r="BJ13" s="49" t="s">
        <v>23</v>
      </c>
      <c r="BK13" s="49" t="s">
        <v>24</v>
      </c>
      <c r="BL13" s="49" t="str">
        <f>SIS062_D_Paslaugaproduk22</f>
        <v xml:space="preserve">... paslauga (produktas) </v>
      </c>
      <c r="BM13" s="49" t="str">
        <f>SIS062_D_Paslaugaproduk23</f>
        <v xml:space="preserve">... paslauga (produktas) </v>
      </c>
      <c r="BN13" s="53" t="s">
        <v>27</v>
      </c>
      <c r="BO13" s="45" t="s">
        <v>16</v>
      </c>
      <c r="BP13" s="46"/>
      <c r="BQ13" s="47" t="s">
        <v>17</v>
      </c>
      <c r="BR13" s="46"/>
      <c r="BS13" s="48" t="str">
        <f>SIS062_D_Paslaugaproduk24</f>
        <v xml:space="preserve">... paslauga (produktas) </v>
      </c>
      <c r="BT13" s="49" t="s">
        <v>18</v>
      </c>
      <c r="BU13" s="49" t="s">
        <v>19</v>
      </c>
      <c r="BV13" s="49" t="str">
        <f>SIS062_D_Paslaugaproduk25</f>
        <v xml:space="preserve">... paslauga (produktas) </v>
      </c>
      <c r="BW13" s="48" t="str">
        <f>SIS062_D_Paslaugaproduk26</f>
        <v xml:space="preserve">... paslauga (produktas) </v>
      </c>
      <c r="BX13" s="49" t="s">
        <v>20</v>
      </c>
      <c r="BY13" s="48" t="s">
        <v>21</v>
      </c>
      <c r="BZ13" s="48" t="s">
        <v>22</v>
      </c>
      <c r="CA13" s="49" t="str">
        <f>SIS062_D_Paslaugaproduk27</f>
        <v xml:space="preserve">... paslauga (produktas) </v>
      </c>
      <c r="CB13" s="50" t="str">
        <f>SIS062_D_Paslaugaproduk28</f>
        <v xml:space="preserve">... paslauga (produktas) </v>
      </c>
      <c r="CC13" s="49" t="s">
        <v>23</v>
      </c>
      <c r="CD13" s="49" t="s">
        <v>24</v>
      </c>
      <c r="CE13" s="49" t="str">
        <f>SIS062_D_Paslaugaproduk29</f>
        <v xml:space="preserve">... paslauga (produktas) </v>
      </c>
      <c r="CF13" s="49" t="str">
        <f>SIS062_D_Paslaugaproduk30</f>
        <v xml:space="preserve">... paslauga (produktas) </v>
      </c>
      <c r="CG13" s="53" t="s">
        <v>27</v>
      </c>
      <c r="CH13" s="45" t="s">
        <v>16</v>
      </c>
      <c r="CI13" s="46"/>
      <c r="CJ13" s="47" t="s">
        <v>17</v>
      </c>
      <c r="CK13" s="46"/>
      <c r="CL13" s="48" t="str">
        <f>SIS062_D_Paslaugaproduk31</f>
        <v xml:space="preserve">... paslauga (produktas) </v>
      </c>
      <c r="CM13" s="49" t="s">
        <v>18</v>
      </c>
      <c r="CN13" s="49" t="s">
        <v>19</v>
      </c>
      <c r="CO13" s="49" t="str">
        <f>SIS062_D_Paslaugaproduk32</f>
        <v xml:space="preserve">... paslauga (produktas) </v>
      </c>
      <c r="CP13" s="48" t="str">
        <f>SIS062_D_Paslaugaproduk33</f>
        <v xml:space="preserve">... paslauga (produktas) </v>
      </c>
      <c r="CQ13" s="49" t="s">
        <v>20</v>
      </c>
      <c r="CR13" s="48" t="s">
        <v>21</v>
      </c>
      <c r="CS13" s="48" t="s">
        <v>22</v>
      </c>
      <c r="CT13" s="49" t="str">
        <f>SIS062_D_Paslaugaproduk34</f>
        <v xml:space="preserve">... paslauga (produktas) </v>
      </c>
      <c r="CU13" s="50" t="str">
        <f>SIS062_D_Paslaugaproduk35</f>
        <v xml:space="preserve">... paslauga (produktas) </v>
      </c>
      <c r="CV13" s="49" t="s">
        <v>23</v>
      </c>
      <c r="CW13" s="49" t="s">
        <v>24</v>
      </c>
      <c r="CX13" s="49" t="str">
        <f>SIS062_D_Paslaugaproduk36</f>
        <v xml:space="preserve">... paslauga (produktas) </v>
      </c>
      <c r="CY13" s="49" t="str">
        <f>SIS062_D_Paslaugaproduk37</f>
        <v xml:space="preserve">... paslauga (produktas) </v>
      </c>
      <c r="CZ13" s="53" t="s">
        <v>27</v>
      </c>
      <c r="DA13" s="45" t="s">
        <v>16</v>
      </c>
      <c r="DB13" s="46"/>
      <c r="DC13" s="47" t="s">
        <v>17</v>
      </c>
      <c r="DD13" s="46"/>
      <c r="DE13" s="48" t="str">
        <f>SIS062_D_Paslaugaproduk38</f>
        <v xml:space="preserve">... paslauga (produktas) </v>
      </c>
      <c r="DF13" s="49" t="s">
        <v>18</v>
      </c>
      <c r="DG13" s="49" t="s">
        <v>19</v>
      </c>
      <c r="DH13" s="49" t="str">
        <f>SIS062_D_Paslaugaproduk39</f>
        <v xml:space="preserve">... paslauga (produktas) </v>
      </c>
      <c r="DI13" s="48" t="str">
        <f>SIS062_D_Paslaugaproduk40</f>
        <v xml:space="preserve">... paslauga (produktas) </v>
      </c>
      <c r="DJ13" s="49" t="s">
        <v>20</v>
      </c>
      <c r="DK13" s="48" t="s">
        <v>21</v>
      </c>
      <c r="DL13" s="48" t="s">
        <v>22</v>
      </c>
      <c r="DM13" s="49" t="str">
        <f>SIS062_D_Paslaugaproduk41</f>
        <v xml:space="preserve">... paslauga (produktas) </v>
      </c>
      <c r="DN13" s="50" t="str">
        <f>SIS062_D_Paslaugaproduk42</f>
        <v xml:space="preserve">... paslauga (produktas) </v>
      </c>
      <c r="DO13" s="49" t="s">
        <v>23</v>
      </c>
      <c r="DP13" s="49" t="s">
        <v>24</v>
      </c>
      <c r="DQ13" s="49" t="str">
        <f>SIS062_D_Paslaugaproduk43</f>
        <v xml:space="preserve">... paslauga (produktas) </v>
      </c>
      <c r="DR13" s="49" t="str">
        <f>SIS062_D_Paslaugaproduk44</f>
        <v xml:space="preserve">... paslauga (produktas) </v>
      </c>
      <c r="DS13" s="53" t="s">
        <v>27</v>
      </c>
      <c r="DT13" s="45" t="s">
        <v>16</v>
      </c>
      <c r="DU13" s="46"/>
      <c r="DV13" s="47" t="s">
        <v>17</v>
      </c>
      <c r="DW13" s="46"/>
      <c r="DX13" s="48" t="str">
        <f>SIS062_D_Paslaugaproduk45</f>
        <v xml:space="preserve">... paslauga (produktas) </v>
      </c>
      <c r="DY13" s="49" t="s">
        <v>18</v>
      </c>
      <c r="DZ13" s="49" t="s">
        <v>19</v>
      </c>
      <c r="EA13" s="49" t="str">
        <f>SIS062_D_Paslaugaproduk46</f>
        <v xml:space="preserve">... paslauga (produktas) </v>
      </c>
      <c r="EB13" s="48" t="str">
        <f>SIS062_D_Paslaugaproduk47</f>
        <v xml:space="preserve">... paslauga (produktas) </v>
      </c>
      <c r="EC13" s="49" t="s">
        <v>20</v>
      </c>
      <c r="ED13" s="48" t="s">
        <v>21</v>
      </c>
      <c r="EE13" s="48" t="s">
        <v>22</v>
      </c>
      <c r="EF13" s="49" t="str">
        <f>SIS062_D_Paslaugaproduk48</f>
        <v xml:space="preserve">... paslauga (produktas) </v>
      </c>
      <c r="EG13" s="50" t="str">
        <f>SIS062_D_Paslaugaproduk49</f>
        <v xml:space="preserve">... paslauga (produktas) </v>
      </c>
      <c r="EH13" s="49" t="s">
        <v>23</v>
      </c>
      <c r="EI13" s="49" t="s">
        <v>24</v>
      </c>
      <c r="EJ13" s="49" t="str">
        <f>SIS062_D_Paslaugaproduk50</f>
        <v xml:space="preserve">... paslauga (produktas) </v>
      </c>
      <c r="EK13" s="49" t="str">
        <f>SIS062_D_Paslaugaproduk51</f>
        <v xml:space="preserve">... paslauga (produktas) </v>
      </c>
      <c r="EL13" s="53" t="s">
        <v>27</v>
      </c>
      <c r="EM13" s="45" t="s">
        <v>16</v>
      </c>
      <c r="EN13" s="46"/>
      <c r="EO13" s="47" t="s">
        <v>17</v>
      </c>
      <c r="EP13" s="46"/>
      <c r="EQ13" s="48" t="str">
        <f>SIS062_D_Paslaugaproduk52</f>
        <v xml:space="preserve">... paslauga (produktas) </v>
      </c>
      <c r="ER13" s="49" t="s">
        <v>18</v>
      </c>
      <c r="ES13" s="49" t="s">
        <v>19</v>
      </c>
      <c r="ET13" s="49" t="str">
        <f>SIS062_D_Paslaugaproduk53</f>
        <v xml:space="preserve">... paslauga (produktas) </v>
      </c>
      <c r="EU13" s="48" t="str">
        <f>SIS062_D_Paslaugaproduk54</f>
        <v xml:space="preserve">... paslauga (produktas) </v>
      </c>
      <c r="EV13" s="49" t="s">
        <v>20</v>
      </c>
      <c r="EW13" s="48" t="s">
        <v>21</v>
      </c>
      <c r="EX13" s="48" t="s">
        <v>22</v>
      </c>
      <c r="EY13" s="49" t="str">
        <f>SIS062_D_Paslaugaproduk55</f>
        <v xml:space="preserve">... paslauga (produktas) </v>
      </c>
      <c r="EZ13" s="50" t="str">
        <f>SIS062_D_Paslaugaproduk56</f>
        <v xml:space="preserve">... paslauga (produktas) </v>
      </c>
      <c r="FA13" s="49" t="s">
        <v>23</v>
      </c>
      <c r="FB13" s="49" t="s">
        <v>24</v>
      </c>
      <c r="FC13" s="49" t="str">
        <f>SIS062_D_Paslaugaproduk57</f>
        <v xml:space="preserve">... paslauga (produktas) </v>
      </c>
      <c r="FD13" s="49" t="str">
        <f>SIS062_D_Paslaugaproduk58</f>
        <v xml:space="preserve">... paslauga (produktas) </v>
      </c>
      <c r="FE13" s="52" t="s">
        <v>27</v>
      </c>
    </row>
    <row r="14" spans="1:161" s="11" customFormat="1" ht="14.7" customHeight="1">
      <c r="B14" s="24"/>
      <c r="C14" s="25"/>
      <c r="D14" s="26"/>
      <c r="E14" s="54"/>
      <c r="F14" s="55"/>
      <c r="G14" s="56"/>
      <c r="H14" s="55"/>
      <c r="I14" s="49"/>
      <c r="J14" s="49"/>
      <c r="K14" s="49"/>
      <c r="L14" s="49"/>
      <c r="M14" s="49"/>
      <c r="N14" s="49"/>
      <c r="O14" s="49"/>
      <c r="P14" s="49"/>
      <c r="Q14" s="49"/>
      <c r="R14" s="48"/>
      <c r="S14" s="49"/>
      <c r="T14" s="49"/>
      <c r="U14" s="49"/>
      <c r="V14" s="49"/>
      <c r="W14" s="49"/>
      <c r="X14" s="49"/>
      <c r="Y14" s="49"/>
      <c r="Z14" s="49"/>
      <c r="AA14" s="49"/>
      <c r="AB14" s="51"/>
      <c r="AC14" s="54"/>
      <c r="AD14" s="55"/>
      <c r="AE14" s="56"/>
      <c r="AF14" s="55"/>
      <c r="AG14" s="49"/>
      <c r="AH14" s="49"/>
      <c r="AI14" s="49"/>
      <c r="AJ14" s="49"/>
      <c r="AK14" s="49"/>
      <c r="AL14" s="49"/>
      <c r="AM14" s="49"/>
      <c r="AN14" s="49"/>
      <c r="AO14" s="49"/>
      <c r="AP14" s="48"/>
      <c r="AQ14" s="49"/>
      <c r="AR14" s="49"/>
      <c r="AS14" s="49"/>
      <c r="AT14" s="49"/>
      <c r="AU14" s="51"/>
      <c r="AV14" s="54"/>
      <c r="AW14" s="55"/>
      <c r="AX14" s="56"/>
      <c r="AY14" s="55"/>
      <c r="AZ14" s="49"/>
      <c r="BA14" s="49"/>
      <c r="BB14" s="49"/>
      <c r="BC14" s="49"/>
      <c r="BD14" s="49"/>
      <c r="BE14" s="49"/>
      <c r="BF14" s="49"/>
      <c r="BG14" s="49"/>
      <c r="BH14" s="49"/>
      <c r="BI14" s="48"/>
      <c r="BJ14" s="49"/>
      <c r="BK14" s="49"/>
      <c r="BL14" s="49"/>
      <c r="BM14" s="49"/>
      <c r="BN14" s="57"/>
      <c r="BO14" s="54"/>
      <c r="BP14" s="55"/>
      <c r="BQ14" s="56"/>
      <c r="BR14" s="55"/>
      <c r="BS14" s="49"/>
      <c r="BT14" s="49"/>
      <c r="BU14" s="49"/>
      <c r="BV14" s="49"/>
      <c r="BW14" s="49"/>
      <c r="BX14" s="49"/>
      <c r="BY14" s="49"/>
      <c r="BZ14" s="49"/>
      <c r="CA14" s="49"/>
      <c r="CB14" s="48"/>
      <c r="CC14" s="49"/>
      <c r="CD14" s="49"/>
      <c r="CE14" s="49"/>
      <c r="CF14" s="49"/>
      <c r="CG14" s="57"/>
      <c r="CH14" s="54"/>
      <c r="CI14" s="55"/>
      <c r="CJ14" s="56"/>
      <c r="CK14" s="55"/>
      <c r="CL14" s="49"/>
      <c r="CM14" s="49"/>
      <c r="CN14" s="49"/>
      <c r="CO14" s="49"/>
      <c r="CP14" s="49"/>
      <c r="CQ14" s="49"/>
      <c r="CR14" s="49"/>
      <c r="CS14" s="49"/>
      <c r="CT14" s="49"/>
      <c r="CU14" s="48"/>
      <c r="CV14" s="49"/>
      <c r="CW14" s="49"/>
      <c r="CX14" s="49"/>
      <c r="CY14" s="49"/>
      <c r="CZ14" s="57"/>
      <c r="DA14" s="54"/>
      <c r="DB14" s="55"/>
      <c r="DC14" s="56"/>
      <c r="DD14" s="55"/>
      <c r="DE14" s="49"/>
      <c r="DF14" s="49"/>
      <c r="DG14" s="49"/>
      <c r="DH14" s="49"/>
      <c r="DI14" s="49"/>
      <c r="DJ14" s="49"/>
      <c r="DK14" s="49"/>
      <c r="DL14" s="49"/>
      <c r="DM14" s="49"/>
      <c r="DN14" s="48"/>
      <c r="DO14" s="49"/>
      <c r="DP14" s="49"/>
      <c r="DQ14" s="49"/>
      <c r="DR14" s="49"/>
      <c r="DS14" s="57"/>
      <c r="DT14" s="54"/>
      <c r="DU14" s="55"/>
      <c r="DV14" s="56"/>
      <c r="DW14" s="55"/>
      <c r="DX14" s="49"/>
      <c r="DY14" s="49"/>
      <c r="DZ14" s="49"/>
      <c r="EA14" s="49"/>
      <c r="EB14" s="49"/>
      <c r="EC14" s="49"/>
      <c r="ED14" s="49"/>
      <c r="EE14" s="49"/>
      <c r="EF14" s="49"/>
      <c r="EG14" s="48"/>
      <c r="EH14" s="49"/>
      <c r="EI14" s="49"/>
      <c r="EJ14" s="49"/>
      <c r="EK14" s="49"/>
      <c r="EL14" s="57"/>
      <c r="EM14" s="54"/>
      <c r="EN14" s="55"/>
      <c r="EO14" s="56"/>
      <c r="EP14" s="55"/>
      <c r="EQ14" s="49"/>
      <c r="ER14" s="49"/>
      <c r="ES14" s="49"/>
      <c r="ET14" s="49"/>
      <c r="EU14" s="49"/>
      <c r="EV14" s="49"/>
      <c r="EW14" s="49"/>
      <c r="EX14" s="49"/>
      <c r="EY14" s="49"/>
      <c r="EZ14" s="48"/>
      <c r="FA14" s="49"/>
      <c r="FB14" s="49"/>
      <c r="FC14" s="49"/>
      <c r="FD14" s="49"/>
      <c r="FE14" s="51"/>
    </row>
    <row r="15" spans="1:161" s="11" customFormat="1" ht="14.7" customHeight="1">
      <c r="B15" s="24"/>
      <c r="C15" s="25"/>
      <c r="D15" s="26"/>
      <c r="E15" s="58" t="s">
        <v>28</v>
      </c>
      <c r="F15" s="47" t="s">
        <v>29</v>
      </c>
      <c r="G15" s="48" t="s">
        <v>28</v>
      </c>
      <c r="H15" s="48" t="s">
        <v>29</v>
      </c>
      <c r="I15" s="49"/>
      <c r="J15" s="49"/>
      <c r="K15" s="49"/>
      <c r="L15" s="49"/>
      <c r="M15" s="49"/>
      <c r="N15" s="49"/>
      <c r="O15" s="49"/>
      <c r="P15" s="49"/>
      <c r="Q15" s="49"/>
      <c r="R15" s="48"/>
      <c r="S15" s="49"/>
      <c r="T15" s="49"/>
      <c r="U15" s="49"/>
      <c r="V15" s="49"/>
      <c r="W15" s="49"/>
      <c r="X15" s="49"/>
      <c r="Y15" s="49"/>
      <c r="Z15" s="49"/>
      <c r="AA15" s="49"/>
      <c r="AB15" s="51"/>
      <c r="AC15" s="58" t="s">
        <v>28</v>
      </c>
      <c r="AD15" s="47" t="s">
        <v>29</v>
      </c>
      <c r="AE15" s="48" t="s">
        <v>28</v>
      </c>
      <c r="AF15" s="48" t="s">
        <v>29</v>
      </c>
      <c r="AG15" s="49"/>
      <c r="AH15" s="49"/>
      <c r="AI15" s="49"/>
      <c r="AJ15" s="49"/>
      <c r="AK15" s="49"/>
      <c r="AL15" s="49"/>
      <c r="AM15" s="49"/>
      <c r="AN15" s="49"/>
      <c r="AO15" s="49"/>
      <c r="AP15" s="48"/>
      <c r="AQ15" s="49"/>
      <c r="AR15" s="49"/>
      <c r="AS15" s="49"/>
      <c r="AT15" s="49"/>
      <c r="AU15" s="51"/>
      <c r="AV15" s="58" t="s">
        <v>28</v>
      </c>
      <c r="AW15" s="47" t="s">
        <v>29</v>
      </c>
      <c r="AX15" s="48" t="s">
        <v>28</v>
      </c>
      <c r="AY15" s="48" t="s">
        <v>29</v>
      </c>
      <c r="AZ15" s="49"/>
      <c r="BA15" s="49"/>
      <c r="BB15" s="49"/>
      <c r="BC15" s="49"/>
      <c r="BD15" s="49"/>
      <c r="BE15" s="49"/>
      <c r="BF15" s="49"/>
      <c r="BG15" s="49"/>
      <c r="BH15" s="49"/>
      <c r="BI15" s="48"/>
      <c r="BJ15" s="49"/>
      <c r="BK15" s="49"/>
      <c r="BL15" s="49"/>
      <c r="BM15" s="49"/>
      <c r="BN15" s="57"/>
      <c r="BO15" s="58" t="s">
        <v>28</v>
      </c>
      <c r="BP15" s="47" t="s">
        <v>29</v>
      </c>
      <c r="BQ15" s="48" t="s">
        <v>28</v>
      </c>
      <c r="BR15" s="48" t="s">
        <v>29</v>
      </c>
      <c r="BS15" s="49"/>
      <c r="BT15" s="49"/>
      <c r="BU15" s="49"/>
      <c r="BV15" s="49"/>
      <c r="BW15" s="49"/>
      <c r="BX15" s="49"/>
      <c r="BY15" s="49"/>
      <c r="BZ15" s="49"/>
      <c r="CA15" s="49"/>
      <c r="CB15" s="48"/>
      <c r="CC15" s="49"/>
      <c r="CD15" s="49"/>
      <c r="CE15" s="49"/>
      <c r="CF15" s="49"/>
      <c r="CG15" s="57"/>
      <c r="CH15" s="58" t="s">
        <v>28</v>
      </c>
      <c r="CI15" s="47" t="s">
        <v>29</v>
      </c>
      <c r="CJ15" s="48" t="s">
        <v>28</v>
      </c>
      <c r="CK15" s="48" t="s">
        <v>29</v>
      </c>
      <c r="CL15" s="49"/>
      <c r="CM15" s="49"/>
      <c r="CN15" s="49"/>
      <c r="CO15" s="49"/>
      <c r="CP15" s="49"/>
      <c r="CQ15" s="49"/>
      <c r="CR15" s="49"/>
      <c r="CS15" s="49"/>
      <c r="CT15" s="49"/>
      <c r="CU15" s="48"/>
      <c r="CV15" s="49"/>
      <c r="CW15" s="49"/>
      <c r="CX15" s="49"/>
      <c r="CY15" s="49"/>
      <c r="CZ15" s="57"/>
      <c r="DA15" s="58" t="s">
        <v>28</v>
      </c>
      <c r="DB15" s="47" t="s">
        <v>29</v>
      </c>
      <c r="DC15" s="48" t="s">
        <v>28</v>
      </c>
      <c r="DD15" s="48" t="s">
        <v>29</v>
      </c>
      <c r="DE15" s="49"/>
      <c r="DF15" s="49"/>
      <c r="DG15" s="49"/>
      <c r="DH15" s="49"/>
      <c r="DI15" s="49"/>
      <c r="DJ15" s="49"/>
      <c r="DK15" s="49"/>
      <c r="DL15" s="49"/>
      <c r="DM15" s="49"/>
      <c r="DN15" s="48"/>
      <c r="DO15" s="49"/>
      <c r="DP15" s="49"/>
      <c r="DQ15" s="49"/>
      <c r="DR15" s="49"/>
      <c r="DS15" s="57"/>
      <c r="DT15" s="58" t="s">
        <v>28</v>
      </c>
      <c r="DU15" s="47" t="s">
        <v>29</v>
      </c>
      <c r="DV15" s="48" t="s">
        <v>28</v>
      </c>
      <c r="DW15" s="48" t="s">
        <v>29</v>
      </c>
      <c r="DX15" s="49"/>
      <c r="DY15" s="49"/>
      <c r="DZ15" s="49"/>
      <c r="EA15" s="49"/>
      <c r="EB15" s="49"/>
      <c r="EC15" s="49"/>
      <c r="ED15" s="49"/>
      <c r="EE15" s="49"/>
      <c r="EF15" s="49"/>
      <c r="EG15" s="48"/>
      <c r="EH15" s="49"/>
      <c r="EI15" s="49"/>
      <c r="EJ15" s="49"/>
      <c r="EK15" s="49"/>
      <c r="EL15" s="57"/>
      <c r="EM15" s="58" t="s">
        <v>28</v>
      </c>
      <c r="EN15" s="47" t="s">
        <v>29</v>
      </c>
      <c r="EO15" s="48" t="s">
        <v>28</v>
      </c>
      <c r="EP15" s="48" t="s">
        <v>29</v>
      </c>
      <c r="EQ15" s="49"/>
      <c r="ER15" s="49"/>
      <c r="ES15" s="49"/>
      <c r="ET15" s="49"/>
      <c r="EU15" s="49"/>
      <c r="EV15" s="49"/>
      <c r="EW15" s="49"/>
      <c r="EX15" s="49"/>
      <c r="EY15" s="49"/>
      <c r="EZ15" s="48"/>
      <c r="FA15" s="49"/>
      <c r="FB15" s="49"/>
      <c r="FC15" s="49"/>
      <c r="FD15" s="49"/>
      <c r="FE15" s="51"/>
    </row>
    <row r="16" spans="1:161" s="11" customFormat="1" ht="14.7" customHeight="1">
      <c r="B16" s="24"/>
      <c r="C16" s="25"/>
      <c r="D16" s="26"/>
      <c r="E16" s="59"/>
      <c r="F16" s="60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8"/>
      <c r="S16" s="49"/>
      <c r="T16" s="49"/>
      <c r="U16" s="49"/>
      <c r="V16" s="49"/>
      <c r="W16" s="49"/>
      <c r="X16" s="49"/>
      <c r="Y16" s="49"/>
      <c r="Z16" s="49"/>
      <c r="AA16" s="49"/>
      <c r="AB16" s="51"/>
      <c r="AC16" s="59"/>
      <c r="AD16" s="60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8"/>
      <c r="AQ16" s="49"/>
      <c r="AR16" s="49"/>
      <c r="AS16" s="49"/>
      <c r="AT16" s="49"/>
      <c r="AU16" s="51"/>
      <c r="AV16" s="59"/>
      <c r="AW16" s="60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8"/>
      <c r="BJ16" s="49"/>
      <c r="BK16" s="49"/>
      <c r="BL16" s="49"/>
      <c r="BM16" s="49"/>
      <c r="BN16" s="57"/>
      <c r="BO16" s="59"/>
      <c r="BP16" s="60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8"/>
      <c r="CC16" s="49"/>
      <c r="CD16" s="49"/>
      <c r="CE16" s="49"/>
      <c r="CF16" s="49"/>
      <c r="CG16" s="57"/>
      <c r="CH16" s="59"/>
      <c r="CI16" s="60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8"/>
      <c r="CV16" s="49"/>
      <c r="CW16" s="49"/>
      <c r="CX16" s="49"/>
      <c r="CY16" s="49"/>
      <c r="CZ16" s="57"/>
      <c r="DA16" s="59"/>
      <c r="DB16" s="60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8"/>
      <c r="DO16" s="49"/>
      <c r="DP16" s="49"/>
      <c r="DQ16" s="49"/>
      <c r="DR16" s="49"/>
      <c r="DS16" s="57"/>
      <c r="DT16" s="59"/>
      <c r="DU16" s="60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8"/>
      <c r="EH16" s="49"/>
      <c r="EI16" s="49"/>
      <c r="EJ16" s="49"/>
      <c r="EK16" s="49"/>
      <c r="EL16" s="57"/>
      <c r="EM16" s="59"/>
      <c r="EN16" s="60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8"/>
      <c r="FA16" s="49"/>
      <c r="FB16" s="49"/>
      <c r="FC16" s="49"/>
      <c r="FD16" s="49"/>
      <c r="FE16" s="51"/>
    </row>
    <row r="17" spans="2:162" s="71" customFormat="1" ht="28.5" customHeight="1" thickBot="1">
      <c r="B17" s="61"/>
      <c r="C17" s="62"/>
      <c r="D17" s="63"/>
      <c r="E17" s="64"/>
      <c r="F17" s="65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7"/>
      <c r="S17" s="66"/>
      <c r="T17" s="66"/>
      <c r="U17" s="66"/>
      <c r="V17" s="66"/>
      <c r="W17" s="66"/>
      <c r="X17" s="66"/>
      <c r="Y17" s="66"/>
      <c r="Z17" s="66"/>
      <c r="AA17" s="66"/>
      <c r="AB17" s="68"/>
      <c r="AC17" s="64"/>
      <c r="AD17" s="65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7"/>
      <c r="AQ17" s="66"/>
      <c r="AR17" s="66"/>
      <c r="AS17" s="66"/>
      <c r="AT17" s="66"/>
      <c r="AU17" s="68"/>
      <c r="AV17" s="64"/>
      <c r="AW17" s="65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7"/>
      <c r="BJ17" s="66"/>
      <c r="BK17" s="66"/>
      <c r="BL17" s="66"/>
      <c r="BM17" s="66"/>
      <c r="BN17" s="69"/>
      <c r="BO17" s="64"/>
      <c r="BP17" s="65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7"/>
      <c r="CC17" s="66"/>
      <c r="CD17" s="66"/>
      <c r="CE17" s="66"/>
      <c r="CF17" s="66"/>
      <c r="CG17" s="69"/>
      <c r="CH17" s="64"/>
      <c r="CI17" s="65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7"/>
      <c r="CV17" s="66"/>
      <c r="CW17" s="66"/>
      <c r="CX17" s="66"/>
      <c r="CY17" s="66"/>
      <c r="CZ17" s="69"/>
      <c r="DA17" s="64"/>
      <c r="DB17" s="65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7"/>
      <c r="DO17" s="66"/>
      <c r="DP17" s="66"/>
      <c r="DQ17" s="66"/>
      <c r="DR17" s="66"/>
      <c r="DS17" s="69"/>
      <c r="DT17" s="64"/>
      <c r="DU17" s="65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7"/>
      <c r="EH17" s="66"/>
      <c r="EI17" s="66"/>
      <c r="EJ17" s="66"/>
      <c r="EK17" s="66"/>
      <c r="EL17" s="69"/>
      <c r="EM17" s="64"/>
      <c r="EN17" s="65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7"/>
      <c r="FA17" s="66"/>
      <c r="FB17" s="66"/>
      <c r="FC17" s="66"/>
      <c r="FD17" s="66"/>
      <c r="FE17" s="68"/>
      <c r="FF17" s="70"/>
    </row>
    <row r="18" spans="2:162" s="6" customFormat="1" ht="13.2">
      <c r="B18" s="72" t="s">
        <v>30</v>
      </c>
      <c r="C18" s="73" t="s">
        <v>31</v>
      </c>
      <c r="D18" s="74">
        <f t="shared" ref="D18:BO18" si="0">SUM(D19:D24)</f>
        <v>0</v>
      </c>
      <c r="E18" s="75">
        <f t="shared" si="0"/>
        <v>0</v>
      </c>
      <c r="F18" s="76">
        <f t="shared" si="0"/>
        <v>0</v>
      </c>
      <c r="G18" s="76">
        <f t="shared" si="0"/>
        <v>0</v>
      </c>
      <c r="H18" s="76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5">
        <f t="shared" si="0"/>
        <v>0</v>
      </c>
      <c r="AD18" s="76">
        <f t="shared" si="0"/>
        <v>0</v>
      </c>
      <c r="AE18" s="76">
        <f t="shared" si="0"/>
        <v>0</v>
      </c>
      <c r="AF18" s="76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5">
        <f t="shared" si="0"/>
        <v>0</v>
      </c>
      <c r="AW18" s="76">
        <f t="shared" si="0"/>
        <v>0</v>
      </c>
      <c r="AX18" s="76">
        <f t="shared" si="0"/>
        <v>0</v>
      </c>
      <c r="AY18" s="76">
        <f t="shared" si="0"/>
        <v>0</v>
      </c>
      <c r="AZ18" s="77">
        <f t="shared" si="0"/>
        <v>0</v>
      </c>
      <c r="BA18" s="77">
        <f t="shared" si="0"/>
        <v>0</v>
      </c>
      <c r="BB18" s="77">
        <f t="shared" si="0"/>
        <v>0</v>
      </c>
      <c r="BC18" s="77">
        <f t="shared" si="0"/>
        <v>0</v>
      </c>
      <c r="BD18" s="77">
        <f t="shared" si="0"/>
        <v>0</v>
      </c>
      <c r="BE18" s="77">
        <f t="shared" si="0"/>
        <v>0</v>
      </c>
      <c r="BF18" s="77">
        <f t="shared" si="0"/>
        <v>0</v>
      </c>
      <c r="BG18" s="77">
        <f t="shared" si="0"/>
        <v>0</v>
      </c>
      <c r="BH18" s="77">
        <f t="shared" si="0"/>
        <v>0</v>
      </c>
      <c r="BI18" s="77">
        <f t="shared" si="0"/>
        <v>0</v>
      </c>
      <c r="BJ18" s="77">
        <f t="shared" si="0"/>
        <v>0</v>
      </c>
      <c r="BK18" s="77">
        <f t="shared" si="0"/>
        <v>0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5">
        <f t="shared" si="0"/>
        <v>0</v>
      </c>
      <c r="BP18" s="76">
        <f t="shared" ref="BP18:EA18" si="1">SUM(BP19:BP24)</f>
        <v>0</v>
      </c>
      <c r="BQ18" s="76">
        <f t="shared" si="1"/>
        <v>0</v>
      </c>
      <c r="BR18" s="76">
        <f t="shared" si="1"/>
        <v>0</v>
      </c>
      <c r="BS18" s="77">
        <f t="shared" si="1"/>
        <v>0</v>
      </c>
      <c r="BT18" s="77">
        <f t="shared" si="1"/>
        <v>0</v>
      </c>
      <c r="BU18" s="77">
        <f t="shared" si="1"/>
        <v>0</v>
      </c>
      <c r="BV18" s="77">
        <f t="shared" si="1"/>
        <v>0</v>
      </c>
      <c r="BW18" s="77">
        <f t="shared" si="1"/>
        <v>0</v>
      </c>
      <c r="BX18" s="77">
        <f t="shared" si="1"/>
        <v>0</v>
      </c>
      <c r="BY18" s="77">
        <f t="shared" si="1"/>
        <v>0</v>
      </c>
      <c r="BZ18" s="77">
        <f t="shared" si="1"/>
        <v>0</v>
      </c>
      <c r="CA18" s="77">
        <f t="shared" si="1"/>
        <v>0</v>
      </c>
      <c r="CB18" s="77">
        <f t="shared" si="1"/>
        <v>0</v>
      </c>
      <c r="CC18" s="77">
        <f t="shared" si="1"/>
        <v>0</v>
      </c>
      <c r="CD18" s="77">
        <f t="shared" si="1"/>
        <v>0</v>
      </c>
      <c r="CE18" s="77">
        <f t="shared" si="1"/>
        <v>0</v>
      </c>
      <c r="CF18" s="77">
        <f t="shared" si="1"/>
        <v>0</v>
      </c>
      <c r="CG18" s="77">
        <f t="shared" si="1"/>
        <v>0</v>
      </c>
      <c r="CH18" s="75">
        <f t="shared" si="1"/>
        <v>0</v>
      </c>
      <c r="CI18" s="76">
        <f t="shared" si="1"/>
        <v>0</v>
      </c>
      <c r="CJ18" s="76">
        <f t="shared" si="1"/>
        <v>0</v>
      </c>
      <c r="CK18" s="76">
        <f t="shared" si="1"/>
        <v>0</v>
      </c>
      <c r="CL18" s="77">
        <f t="shared" si="1"/>
        <v>0</v>
      </c>
      <c r="CM18" s="77">
        <f t="shared" si="1"/>
        <v>0</v>
      </c>
      <c r="CN18" s="77">
        <f t="shared" si="1"/>
        <v>0</v>
      </c>
      <c r="CO18" s="77">
        <f t="shared" si="1"/>
        <v>0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7">
        <f t="shared" si="1"/>
        <v>0</v>
      </c>
      <c r="CU18" s="77">
        <f t="shared" si="1"/>
        <v>0</v>
      </c>
      <c r="CV18" s="77">
        <f t="shared" si="1"/>
        <v>0</v>
      </c>
      <c r="CW18" s="77">
        <f t="shared" si="1"/>
        <v>0</v>
      </c>
      <c r="CX18" s="77">
        <f t="shared" si="1"/>
        <v>0</v>
      </c>
      <c r="CY18" s="77">
        <f t="shared" si="1"/>
        <v>0</v>
      </c>
      <c r="CZ18" s="77">
        <f t="shared" si="1"/>
        <v>0</v>
      </c>
      <c r="DA18" s="75">
        <f t="shared" si="1"/>
        <v>0</v>
      </c>
      <c r="DB18" s="76">
        <f t="shared" si="1"/>
        <v>0</v>
      </c>
      <c r="DC18" s="76">
        <f t="shared" si="1"/>
        <v>0</v>
      </c>
      <c r="DD18" s="76">
        <f t="shared" si="1"/>
        <v>0</v>
      </c>
      <c r="DE18" s="77">
        <f t="shared" si="1"/>
        <v>0</v>
      </c>
      <c r="DF18" s="77">
        <f t="shared" si="1"/>
        <v>0</v>
      </c>
      <c r="DG18" s="77">
        <f t="shared" si="1"/>
        <v>0</v>
      </c>
      <c r="DH18" s="77">
        <f t="shared" si="1"/>
        <v>0</v>
      </c>
      <c r="DI18" s="77">
        <f t="shared" si="1"/>
        <v>0</v>
      </c>
      <c r="DJ18" s="77">
        <f t="shared" si="1"/>
        <v>0</v>
      </c>
      <c r="DK18" s="77">
        <f t="shared" si="1"/>
        <v>0</v>
      </c>
      <c r="DL18" s="77">
        <f t="shared" si="1"/>
        <v>0</v>
      </c>
      <c r="DM18" s="77">
        <f t="shared" si="1"/>
        <v>0</v>
      </c>
      <c r="DN18" s="77">
        <f t="shared" si="1"/>
        <v>0</v>
      </c>
      <c r="DO18" s="77">
        <f t="shared" si="1"/>
        <v>0</v>
      </c>
      <c r="DP18" s="77">
        <f t="shared" si="1"/>
        <v>0</v>
      </c>
      <c r="DQ18" s="77">
        <f t="shared" si="1"/>
        <v>0</v>
      </c>
      <c r="DR18" s="77">
        <f t="shared" si="1"/>
        <v>0</v>
      </c>
      <c r="DS18" s="77">
        <f t="shared" si="1"/>
        <v>0</v>
      </c>
      <c r="DT18" s="75">
        <f t="shared" si="1"/>
        <v>0</v>
      </c>
      <c r="DU18" s="76">
        <f t="shared" si="1"/>
        <v>0</v>
      </c>
      <c r="DV18" s="76">
        <f t="shared" si="1"/>
        <v>0</v>
      </c>
      <c r="DW18" s="76">
        <f t="shared" si="1"/>
        <v>0</v>
      </c>
      <c r="DX18" s="77">
        <f t="shared" si="1"/>
        <v>0</v>
      </c>
      <c r="DY18" s="77">
        <f t="shared" si="1"/>
        <v>0</v>
      </c>
      <c r="DZ18" s="77">
        <f t="shared" si="1"/>
        <v>0</v>
      </c>
      <c r="EA18" s="77">
        <f t="shared" si="1"/>
        <v>0</v>
      </c>
      <c r="EB18" s="77">
        <f t="shared" ref="EB18:GP18" si="2">SUM(EB19:EB24)</f>
        <v>0</v>
      </c>
      <c r="EC18" s="77">
        <f t="shared" si="2"/>
        <v>0</v>
      </c>
      <c r="ED18" s="77">
        <f t="shared" si="2"/>
        <v>0</v>
      </c>
      <c r="EE18" s="77">
        <f t="shared" si="2"/>
        <v>0</v>
      </c>
      <c r="EF18" s="77">
        <f t="shared" si="2"/>
        <v>0</v>
      </c>
      <c r="EG18" s="77">
        <f t="shared" si="2"/>
        <v>0</v>
      </c>
      <c r="EH18" s="77">
        <f t="shared" si="2"/>
        <v>0</v>
      </c>
      <c r="EI18" s="77">
        <f t="shared" si="2"/>
        <v>0</v>
      </c>
      <c r="EJ18" s="77">
        <f t="shared" si="2"/>
        <v>0</v>
      </c>
      <c r="EK18" s="77">
        <f t="shared" si="2"/>
        <v>0</v>
      </c>
      <c r="EL18" s="77">
        <f t="shared" si="2"/>
        <v>0</v>
      </c>
      <c r="EM18" s="75">
        <f t="shared" si="2"/>
        <v>0</v>
      </c>
      <c r="EN18" s="76">
        <f t="shared" si="2"/>
        <v>0</v>
      </c>
      <c r="EO18" s="76">
        <f t="shared" si="2"/>
        <v>0</v>
      </c>
      <c r="EP18" s="76">
        <f t="shared" si="2"/>
        <v>0</v>
      </c>
      <c r="EQ18" s="77">
        <f t="shared" si="2"/>
        <v>0</v>
      </c>
      <c r="ER18" s="77">
        <f t="shared" si="2"/>
        <v>0</v>
      </c>
      <c r="ES18" s="77">
        <f t="shared" si="2"/>
        <v>0</v>
      </c>
      <c r="ET18" s="77">
        <f t="shared" si="2"/>
        <v>0</v>
      </c>
      <c r="EU18" s="77">
        <f t="shared" si="2"/>
        <v>0</v>
      </c>
      <c r="EV18" s="77">
        <f t="shared" si="2"/>
        <v>0</v>
      </c>
      <c r="EW18" s="77">
        <f t="shared" si="2"/>
        <v>0</v>
      </c>
      <c r="EX18" s="77">
        <f t="shared" si="2"/>
        <v>0</v>
      </c>
      <c r="EY18" s="77">
        <f t="shared" si="2"/>
        <v>0</v>
      </c>
      <c r="EZ18" s="77">
        <f t="shared" si="2"/>
        <v>0</v>
      </c>
      <c r="FA18" s="77">
        <f t="shared" si="2"/>
        <v>0</v>
      </c>
      <c r="FB18" s="77">
        <f t="shared" si="2"/>
        <v>0</v>
      </c>
      <c r="FC18" s="77">
        <f t="shared" si="2"/>
        <v>0</v>
      </c>
      <c r="FD18" s="77">
        <f t="shared" si="2"/>
        <v>0</v>
      </c>
      <c r="FE18" s="78">
        <f t="shared" si="2"/>
        <v>0</v>
      </c>
    </row>
    <row r="19" spans="2:162" s="6" customFormat="1" ht="13.2" hidden="1">
      <c r="B19" s="79" t="s">
        <v>32</v>
      </c>
      <c r="C19" s="80" t="s">
        <v>33</v>
      </c>
      <c r="D19" s="81">
        <f>SUM(E19:AB19)</f>
        <v>0</v>
      </c>
      <c r="E19" s="82">
        <f>SUM(AC19,AV19,BO19,CH19,DA19,DT19,EM19)</f>
        <v>0</v>
      </c>
      <c r="F19" s="83">
        <f t="shared" ref="F19:V24" si="3">SUM(AD19,AW19,BP19,CI19,DB19,DU19,EN19)</f>
        <v>0</v>
      </c>
      <c r="G19" s="83">
        <f t="shared" si="3"/>
        <v>0</v>
      </c>
      <c r="H19" s="83">
        <f t="shared" si="3"/>
        <v>0</v>
      </c>
      <c r="I19" s="84">
        <f t="shared" si="3"/>
        <v>0</v>
      </c>
      <c r="J19" s="84">
        <f t="shared" si="3"/>
        <v>0</v>
      </c>
      <c r="K19" s="84">
        <f t="shared" si="3"/>
        <v>0</v>
      </c>
      <c r="L19" s="84">
        <f t="shared" si="3"/>
        <v>0</v>
      </c>
      <c r="M19" s="84">
        <f t="shared" si="3"/>
        <v>0</v>
      </c>
      <c r="N19" s="84">
        <f t="shared" si="3"/>
        <v>0</v>
      </c>
      <c r="O19" s="84">
        <f t="shared" si="3"/>
        <v>0</v>
      </c>
      <c r="P19" s="84">
        <f t="shared" si="3"/>
        <v>0</v>
      </c>
      <c r="Q19" s="84">
        <f t="shared" si="3"/>
        <v>0</v>
      </c>
      <c r="R19" s="84">
        <f t="shared" si="3"/>
        <v>0</v>
      </c>
      <c r="S19" s="84">
        <f t="shared" si="3"/>
        <v>0</v>
      </c>
      <c r="T19" s="84">
        <f t="shared" si="3"/>
        <v>0</v>
      </c>
      <c r="U19" s="84">
        <f t="shared" si="3"/>
        <v>0</v>
      </c>
      <c r="V19" s="84">
        <f t="shared" si="3"/>
        <v>0</v>
      </c>
      <c r="W19" s="84">
        <f>SIS064_F_Silumosisigiji2Elektrosenergi5</f>
        <v>0</v>
      </c>
      <c r="X19" s="84">
        <f>SUM(SIS062_F_Silumosisigiji2Geriamojovande1,SIS063_F_Silumosisigiji2Geriamojovande1,SIS065_F_Silumosisigiji2Geriamojovande1)</f>
        <v>0</v>
      </c>
      <c r="Y19" s="84">
        <f>SUM(SIS062_F_Silumosisigiji2Paslaugaproduk8,SIS063_F_Silumosisigiji2Paslaugaproduk8,SIS065_F_Silumosisigiji2Paslaugaproduk8)</f>
        <v>0</v>
      </c>
      <c r="Z19" s="84">
        <f>SIS064_F_Silumosisigiji2Elektrosenergi6</f>
        <v>0</v>
      </c>
      <c r="AA19" s="84">
        <f>SUM(SIS062_F_Silumosisigiji2Konkurencinesi1,SIS063_F_Silumosisigiji2Konkurencinesi1,SIS065_F_Silumosisigiji2Konkurencinesi1,)</f>
        <v>0</v>
      </c>
      <c r="AB19" s="84">
        <f>SUM(SIS062_F_Silumosisigiji2Paslaugaproduk9,SIS063_F_Silumosisigiji2Paslaugaproduk9,SIS065_F_Silumosisigiji2Paslaugaproduk9)</f>
        <v>0</v>
      </c>
      <c r="AC19" s="85"/>
      <c r="AD19" s="86"/>
      <c r="AE19" s="86"/>
      <c r="AF19" s="86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8"/>
      <c r="AV19" s="85"/>
      <c r="AW19" s="86"/>
      <c r="AX19" s="86"/>
      <c r="AY19" s="86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8"/>
      <c r="BO19" s="85"/>
      <c r="BP19" s="86"/>
      <c r="BQ19" s="86"/>
      <c r="BR19" s="86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8"/>
      <c r="CH19" s="85"/>
      <c r="CI19" s="86"/>
      <c r="CJ19" s="86"/>
      <c r="CK19" s="86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8"/>
      <c r="DA19" s="85"/>
      <c r="DB19" s="86"/>
      <c r="DC19" s="86"/>
      <c r="DD19" s="86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8"/>
      <c r="DT19" s="85"/>
      <c r="DU19" s="86"/>
      <c r="DV19" s="86"/>
      <c r="DW19" s="86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8"/>
      <c r="EM19" s="85"/>
      <c r="EN19" s="86"/>
      <c r="EO19" s="86"/>
      <c r="EP19" s="86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9"/>
    </row>
    <row r="20" spans="2:162" s="6" customFormat="1" ht="13.2" hidden="1">
      <c r="B20" s="90" t="s">
        <v>34</v>
      </c>
      <c r="C20" s="91" t="s">
        <v>35</v>
      </c>
      <c r="D20" s="81">
        <f t="shared" ref="D20:D23" si="4">SUM(E20:AB20)</f>
        <v>0</v>
      </c>
      <c r="E20" s="82">
        <f t="shared" ref="E20:T24" si="5">SUM(AC20,AV20,BO20,CH20,DA20,DT20,EM20)</f>
        <v>0</v>
      </c>
      <c r="F20" s="83">
        <f t="shared" si="3"/>
        <v>0</v>
      </c>
      <c r="G20" s="83">
        <f t="shared" si="3"/>
        <v>0</v>
      </c>
      <c r="H20" s="83">
        <f t="shared" si="3"/>
        <v>0</v>
      </c>
      <c r="I20" s="84">
        <f t="shared" si="3"/>
        <v>0</v>
      </c>
      <c r="J20" s="84">
        <f t="shared" si="3"/>
        <v>0</v>
      </c>
      <c r="K20" s="84">
        <f t="shared" si="3"/>
        <v>0</v>
      </c>
      <c r="L20" s="84">
        <f t="shared" si="3"/>
        <v>0</v>
      </c>
      <c r="M20" s="84">
        <f t="shared" si="3"/>
        <v>0</v>
      </c>
      <c r="N20" s="84">
        <f t="shared" si="3"/>
        <v>0</v>
      </c>
      <c r="O20" s="84">
        <f t="shared" si="3"/>
        <v>0</v>
      </c>
      <c r="P20" s="84">
        <f t="shared" si="3"/>
        <v>0</v>
      </c>
      <c r="Q20" s="84">
        <f t="shared" si="3"/>
        <v>0</v>
      </c>
      <c r="R20" s="84">
        <f t="shared" si="3"/>
        <v>0</v>
      </c>
      <c r="S20" s="84">
        <f t="shared" si="3"/>
        <v>0</v>
      </c>
      <c r="T20" s="84">
        <f t="shared" si="3"/>
        <v>0</v>
      </c>
      <c r="U20" s="84">
        <f t="shared" si="3"/>
        <v>0</v>
      </c>
      <c r="V20" s="84">
        <f t="shared" si="3"/>
        <v>0</v>
      </c>
      <c r="W20" s="84">
        <f t="array" ref="W20">SIS064_F_Atliekinessilu1Elektrosenergi5</f>
        <v>0</v>
      </c>
      <c r="X20" s="84">
        <f>SUM(SIS062_F_Atliekinessilu1Geriamojovande1,SIS063_F_Atliekinessilu1Geriamojovande1,SIS065_F_Atliekinessilu1Geriamojovande1,)</f>
        <v>0</v>
      </c>
      <c r="Y20" s="84">
        <f>SUM(SIS062_F_Atliekinessilu1Paslaugaproduk8,SIS063_F_Atliekinessilu1Paslaugaproduk8,SIS065_F_Atliekinessilu1Paslaugaproduk8,)</f>
        <v>0</v>
      </c>
      <c r="Z20" s="84">
        <f t="array" ref="Z20">SIS064_F_Atliekinessilu1Elektrosenergi6</f>
        <v>0</v>
      </c>
      <c r="AA20" s="84">
        <f>SUM(SIS062_F_Atliekinessilu1Konkurencinesi1,SIS063_F_Atliekinessilu1Konkurencinesi1,SIS065_F_Atliekinessilu1Konkurencinesi1,)</f>
        <v>0</v>
      </c>
      <c r="AB20" s="84">
        <f>SUM(SIS062_F_Atliekinessilu1Paslaugaproduk9,SIS063_F_Atliekinessilu1Paslaugaproduk9,SIS065_F_Atliekinessilu1Paslaugaproduk9,)</f>
        <v>0</v>
      </c>
      <c r="AC20" s="85"/>
      <c r="AD20" s="86"/>
      <c r="AE20" s="86"/>
      <c r="AF20" s="86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8"/>
      <c r="AV20" s="85"/>
      <c r="AW20" s="86"/>
      <c r="AX20" s="86"/>
      <c r="AY20" s="86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8"/>
      <c r="BO20" s="85"/>
      <c r="BP20" s="86"/>
      <c r="BQ20" s="86"/>
      <c r="BR20" s="86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8"/>
      <c r="CH20" s="85"/>
      <c r="CI20" s="86"/>
      <c r="CJ20" s="86"/>
      <c r="CK20" s="86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8"/>
      <c r="DA20" s="85"/>
      <c r="DB20" s="86"/>
      <c r="DC20" s="86"/>
      <c r="DD20" s="86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8"/>
      <c r="DT20" s="85"/>
      <c r="DU20" s="86"/>
      <c r="DV20" s="86"/>
      <c r="DW20" s="86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8"/>
      <c r="EM20" s="85"/>
      <c r="EN20" s="86"/>
      <c r="EO20" s="86"/>
      <c r="EP20" s="86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9"/>
    </row>
    <row r="21" spans="2:162" s="6" customFormat="1" ht="13.2" hidden="1">
      <c r="B21" s="90" t="s">
        <v>36</v>
      </c>
      <c r="C21" s="91" t="s">
        <v>37</v>
      </c>
      <c r="D21" s="81">
        <f t="shared" si="4"/>
        <v>0</v>
      </c>
      <c r="E21" s="82">
        <f t="shared" si="5"/>
        <v>0</v>
      </c>
      <c r="F21" s="83">
        <f t="shared" si="3"/>
        <v>0</v>
      </c>
      <c r="G21" s="83">
        <f t="shared" si="3"/>
        <v>0</v>
      </c>
      <c r="H21" s="83">
        <f t="shared" si="3"/>
        <v>0</v>
      </c>
      <c r="I21" s="84">
        <f t="shared" si="3"/>
        <v>0</v>
      </c>
      <c r="J21" s="84">
        <f t="shared" si="3"/>
        <v>0</v>
      </c>
      <c r="K21" s="84">
        <f t="shared" si="3"/>
        <v>0</v>
      </c>
      <c r="L21" s="84">
        <f t="shared" si="3"/>
        <v>0</v>
      </c>
      <c r="M21" s="84">
        <f t="shared" si="3"/>
        <v>0</v>
      </c>
      <c r="N21" s="84">
        <f t="shared" si="3"/>
        <v>0</v>
      </c>
      <c r="O21" s="84">
        <f t="shared" si="3"/>
        <v>0</v>
      </c>
      <c r="P21" s="84">
        <f t="shared" si="3"/>
        <v>0</v>
      </c>
      <c r="Q21" s="84">
        <f t="shared" si="3"/>
        <v>0</v>
      </c>
      <c r="R21" s="84">
        <f t="shared" si="3"/>
        <v>0</v>
      </c>
      <c r="S21" s="84">
        <f t="shared" si="3"/>
        <v>0</v>
      </c>
      <c r="T21" s="84">
        <f t="shared" si="3"/>
        <v>0</v>
      </c>
      <c r="U21" s="84">
        <f t="shared" si="3"/>
        <v>0</v>
      </c>
      <c r="V21" s="84">
        <f t="shared" si="3"/>
        <v>0</v>
      </c>
      <c r="W21" s="84">
        <f t="array" ref="W21">SIS064_F_Balansavimoauk1Elektrosenergi5</f>
        <v>0</v>
      </c>
      <c r="X21" s="84">
        <f>SUM(SIS062_F_Balansavimoauk1Geriamojovande1,SIS063_F_Balansavimoauk1Geriamojovande1,SIS065_F_Balansavimoauk1Geriamojovande1,)</f>
        <v>0</v>
      </c>
      <c r="Y21" s="84">
        <f>SUM(SIS062_F_Balansavimoauk1Paslaugaproduk8,SIS063_F_Balansavimoauk1Paslaugaproduk8,SIS065_F_Balansavimoauk1Paslaugaproduk8,)</f>
        <v>0</v>
      </c>
      <c r="Z21" s="84">
        <f t="array" ref="Z21">SIS064_F_Balansavimoauk1Elektrosenergi6</f>
        <v>0</v>
      </c>
      <c r="AA21" s="84">
        <f>SUM(SIS062_F_Balansavimoauk1Konkurencinesi1,SIS063_F_Balansavimoauk1Konkurencinesi1,SIS065_F_Balansavimoauk1Konkurencinesi1,)</f>
        <v>0</v>
      </c>
      <c r="AB21" s="84">
        <f>SUM(SIS062_F_Balansavimoauk1Paslaugaproduk9,SIS063_F_Balansavimoauk1Paslaugaproduk9,SIS065_F_Balansavimoauk1Paslaugaproduk9,)</f>
        <v>0</v>
      </c>
      <c r="AC21" s="85"/>
      <c r="AD21" s="86"/>
      <c r="AE21" s="86"/>
      <c r="AF21" s="86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8"/>
      <c r="AV21" s="85"/>
      <c r="AW21" s="86"/>
      <c r="AX21" s="86"/>
      <c r="AY21" s="86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8"/>
      <c r="BO21" s="85"/>
      <c r="BP21" s="86"/>
      <c r="BQ21" s="86"/>
      <c r="BR21" s="86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8"/>
      <c r="CH21" s="85"/>
      <c r="CI21" s="86"/>
      <c r="CJ21" s="86"/>
      <c r="CK21" s="86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8"/>
      <c r="DA21" s="85"/>
      <c r="DB21" s="86"/>
      <c r="DC21" s="86"/>
      <c r="DD21" s="86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8"/>
      <c r="DT21" s="85"/>
      <c r="DU21" s="86"/>
      <c r="DV21" s="86"/>
      <c r="DW21" s="86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8"/>
      <c r="EM21" s="85"/>
      <c r="EN21" s="86"/>
      <c r="EO21" s="86"/>
      <c r="EP21" s="86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9"/>
    </row>
    <row r="22" spans="2:162" s="6" customFormat="1" ht="13.2" hidden="1">
      <c r="B22" s="90" t="s">
        <v>38</v>
      </c>
      <c r="C22" s="91" t="s">
        <v>39</v>
      </c>
      <c r="D22" s="81">
        <f t="shared" si="4"/>
        <v>0</v>
      </c>
      <c r="E22" s="82">
        <f t="shared" si="5"/>
        <v>0</v>
      </c>
      <c r="F22" s="83">
        <f t="shared" si="3"/>
        <v>0</v>
      </c>
      <c r="G22" s="83">
        <f t="shared" si="3"/>
        <v>0</v>
      </c>
      <c r="H22" s="83">
        <f t="shared" si="3"/>
        <v>0</v>
      </c>
      <c r="I22" s="84">
        <f t="shared" si="3"/>
        <v>0</v>
      </c>
      <c r="J22" s="84">
        <f t="shared" si="3"/>
        <v>0</v>
      </c>
      <c r="K22" s="84">
        <f t="shared" si="3"/>
        <v>0</v>
      </c>
      <c r="L22" s="84">
        <f t="shared" si="3"/>
        <v>0</v>
      </c>
      <c r="M22" s="84">
        <f t="shared" si="3"/>
        <v>0</v>
      </c>
      <c r="N22" s="84">
        <f t="shared" si="3"/>
        <v>0</v>
      </c>
      <c r="O22" s="84">
        <f t="shared" si="3"/>
        <v>0</v>
      </c>
      <c r="P22" s="84">
        <f t="shared" si="3"/>
        <v>0</v>
      </c>
      <c r="Q22" s="84">
        <f t="shared" si="3"/>
        <v>0</v>
      </c>
      <c r="R22" s="84">
        <f t="shared" si="3"/>
        <v>0</v>
      </c>
      <c r="S22" s="84">
        <f t="shared" si="3"/>
        <v>0</v>
      </c>
      <c r="T22" s="84">
        <f t="shared" si="3"/>
        <v>0</v>
      </c>
      <c r="U22" s="84">
        <f t="shared" si="3"/>
        <v>0</v>
      </c>
      <c r="V22" s="84">
        <f t="shared" si="3"/>
        <v>0</v>
      </c>
      <c r="W22" s="84">
        <f t="array" ref="W22">SIS064_F_Pajegumuaukcio1Elektrosenergi5</f>
        <v>0</v>
      </c>
      <c r="X22" s="84">
        <f>SUM(SIS062_F_Pajegumuaukcio1Geriamojovande1,SIS063_F_Pajegumuaukcio1Geriamojovande1,SIS065_F_Pajegumuaukcio1Geriamojovande1,)</f>
        <v>0</v>
      </c>
      <c r="Y22" s="84">
        <f>SUM(SIS062_F_Pajegumuaukcio1Paslaugaproduk8,SIS063_F_Pajegumuaukcio1Paslaugaproduk8,SIS065_F_Pajegumuaukcio1Paslaugaproduk8,)</f>
        <v>0</v>
      </c>
      <c r="Z22" s="84">
        <f t="array" ref="Z22">SIS064_F_Pajegumuaukcio1Elektrosenergi6</f>
        <v>0</v>
      </c>
      <c r="AA22" s="84">
        <f>SUM(SIS062_F_Pajegumuaukcio1Konkurencinesi1,SIS063_F_Pajegumuaukcio1Konkurencinesi1,SIS065_F_Pajegumuaukcio1Konkurencinesi1,)</f>
        <v>0</v>
      </c>
      <c r="AB22" s="84">
        <f>SUM(SIS062_F_Pajegumuaukcio1Paslaugaproduk9,SIS063_F_Pajegumuaukcio1Paslaugaproduk9,SIS065_F_Pajegumuaukcio1Paslaugaproduk9,)</f>
        <v>0</v>
      </c>
      <c r="AC22" s="85"/>
      <c r="AD22" s="86"/>
      <c r="AE22" s="86"/>
      <c r="AF22" s="86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8"/>
      <c r="AV22" s="85"/>
      <c r="AW22" s="86"/>
      <c r="AX22" s="86"/>
      <c r="AY22" s="86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8"/>
      <c r="BO22" s="85"/>
      <c r="BP22" s="86"/>
      <c r="BQ22" s="86"/>
      <c r="BR22" s="86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8"/>
      <c r="CH22" s="85"/>
      <c r="CI22" s="86"/>
      <c r="CJ22" s="86"/>
      <c r="CK22" s="86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8"/>
      <c r="DA22" s="85"/>
      <c r="DB22" s="86"/>
      <c r="DC22" s="86"/>
      <c r="DD22" s="86"/>
      <c r="DE22" s="87"/>
      <c r="DF22" s="87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8"/>
      <c r="DT22" s="85"/>
      <c r="DU22" s="86"/>
      <c r="DV22" s="86"/>
      <c r="DW22" s="86"/>
      <c r="DX22" s="87"/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7"/>
      <c r="EJ22" s="87"/>
      <c r="EK22" s="87"/>
      <c r="EL22" s="88"/>
      <c r="EM22" s="85"/>
      <c r="EN22" s="86"/>
      <c r="EO22" s="86"/>
      <c r="EP22" s="86"/>
      <c r="EQ22" s="87"/>
      <c r="ER22" s="87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9"/>
    </row>
    <row r="23" spans="2:162" s="6" customFormat="1" ht="13.2" hidden="1">
      <c r="B23" s="90" t="s">
        <v>40</v>
      </c>
      <c r="C23" s="91" t="s">
        <v>41</v>
      </c>
      <c r="D23" s="81">
        <f t="shared" si="4"/>
        <v>0</v>
      </c>
      <c r="E23" s="82">
        <f t="shared" si="5"/>
        <v>0</v>
      </c>
      <c r="F23" s="83">
        <f t="shared" si="3"/>
        <v>0</v>
      </c>
      <c r="G23" s="83">
        <f t="shared" si="3"/>
        <v>0</v>
      </c>
      <c r="H23" s="83">
        <f t="shared" si="3"/>
        <v>0</v>
      </c>
      <c r="I23" s="84">
        <f t="shared" si="3"/>
        <v>0</v>
      </c>
      <c r="J23" s="84">
        <f t="shared" si="3"/>
        <v>0</v>
      </c>
      <c r="K23" s="84">
        <f t="shared" si="3"/>
        <v>0</v>
      </c>
      <c r="L23" s="84">
        <f t="shared" si="3"/>
        <v>0</v>
      </c>
      <c r="M23" s="84">
        <f t="shared" si="3"/>
        <v>0</v>
      </c>
      <c r="N23" s="84">
        <f t="shared" si="3"/>
        <v>0</v>
      </c>
      <c r="O23" s="84">
        <f t="shared" si="3"/>
        <v>0</v>
      </c>
      <c r="P23" s="84">
        <f t="shared" si="3"/>
        <v>0</v>
      </c>
      <c r="Q23" s="84">
        <f t="shared" si="3"/>
        <v>0</v>
      </c>
      <c r="R23" s="84">
        <f t="shared" si="3"/>
        <v>0</v>
      </c>
      <c r="S23" s="84">
        <f t="shared" si="3"/>
        <v>0</v>
      </c>
      <c r="T23" s="84">
        <f t="shared" si="3"/>
        <v>0</v>
      </c>
      <c r="U23" s="84">
        <f t="shared" si="3"/>
        <v>0</v>
      </c>
      <c r="V23" s="84">
        <f t="shared" si="3"/>
        <v>0</v>
      </c>
      <c r="W23" s="84">
        <f t="array" ref="W23">SIS064_F_Balansavimosan1Elektrosenergi5</f>
        <v>0</v>
      </c>
      <c r="X23" s="84">
        <f>SUM(SIS062_F_Balansavimosan1Geriamojovande1,SIS063_F_Balansavimosan1Geriamojovande1,SIS065_F_Balansavimosan1Geriamojovande1,)</f>
        <v>0</v>
      </c>
      <c r="Y23" s="84">
        <f>SUM(SIS062_F_Balansavimosan1Paslaugaproduk8,SIS063_F_Balansavimosan1Paslaugaproduk8,SIS065_F_Balansavimosan1Paslaugaproduk8,)</f>
        <v>0</v>
      </c>
      <c r="Z23" s="84">
        <f t="array" ref="Z23">SIS064_F_Balansavimosan1Elektrosenergi6</f>
        <v>0</v>
      </c>
      <c r="AA23" s="84">
        <f>SUM(SIS062_F_Balansavimosan1Konkurencinesi1,SIS063_F_Balansavimosan1Konkurencinesi1,SIS065_F_Balansavimosan1Konkurencinesi1,)</f>
        <v>0</v>
      </c>
      <c r="AB23" s="84">
        <f>SUM(SIS062_F_Balansavimosan1Paslaugaproduk9,SIS063_F_Balansavimosan1Paslaugaproduk9,SIS065_F_Balansavimosan1Paslaugaproduk9,)</f>
        <v>0</v>
      </c>
      <c r="AC23" s="85"/>
      <c r="AD23" s="86"/>
      <c r="AE23" s="86"/>
      <c r="AF23" s="86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8"/>
      <c r="AV23" s="85"/>
      <c r="AW23" s="86"/>
      <c r="AX23" s="86"/>
      <c r="AY23" s="86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8"/>
      <c r="BO23" s="85"/>
      <c r="BP23" s="86"/>
      <c r="BQ23" s="86"/>
      <c r="BR23" s="86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8"/>
      <c r="CH23" s="85"/>
      <c r="CI23" s="86"/>
      <c r="CJ23" s="86"/>
      <c r="CK23" s="86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8"/>
      <c r="DA23" s="85"/>
      <c r="DB23" s="86"/>
      <c r="DC23" s="86"/>
      <c r="DD23" s="86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8"/>
      <c r="DT23" s="85"/>
      <c r="DU23" s="86"/>
      <c r="DV23" s="86"/>
      <c r="DW23" s="86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8"/>
      <c r="EM23" s="85"/>
      <c r="EN23" s="86"/>
      <c r="EO23" s="86"/>
      <c r="EP23" s="86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9"/>
    </row>
    <row r="24" spans="2:162" s="6" customFormat="1" ht="13.2" hidden="1">
      <c r="B24" s="92" t="s">
        <v>42</v>
      </c>
      <c r="C24" s="80" t="str">
        <f>SIS055_D_Kitossanaudoss1</f>
        <v>Kitos sąnaudos, susijusios su šilumos įsigijimu (nurodyti)</v>
      </c>
      <c r="D24" s="81">
        <f>SUM(E24:AB24)</f>
        <v>0</v>
      </c>
      <c r="E24" s="82">
        <f t="shared" si="5"/>
        <v>0</v>
      </c>
      <c r="F24" s="83">
        <f t="shared" si="5"/>
        <v>0</v>
      </c>
      <c r="G24" s="83">
        <f t="shared" si="5"/>
        <v>0</v>
      </c>
      <c r="H24" s="83">
        <f t="shared" si="5"/>
        <v>0</v>
      </c>
      <c r="I24" s="84">
        <f t="shared" si="5"/>
        <v>0</v>
      </c>
      <c r="J24" s="84">
        <f t="shared" si="5"/>
        <v>0</v>
      </c>
      <c r="K24" s="84">
        <f t="shared" si="5"/>
        <v>0</v>
      </c>
      <c r="L24" s="84">
        <f t="shared" si="5"/>
        <v>0</v>
      </c>
      <c r="M24" s="84">
        <f t="shared" si="5"/>
        <v>0</v>
      </c>
      <c r="N24" s="84">
        <f t="shared" si="5"/>
        <v>0</v>
      </c>
      <c r="O24" s="84">
        <f t="shared" si="5"/>
        <v>0</v>
      </c>
      <c r="P24" s="84">
        <f t="shared" si="5"/>
        <v>0</v>
      </c>
      <c r="Q24" s="84">
        <f t="shared" si="5"/>
        <v>0</v>
      </c>
      <c r="R24" s="84">
        <f t="shared" si="5"/>
        <v>0</v>
      </c>
      <c r="S24" s="84">
        <f t="shared" si="5"/>
        <v>0</v>
      </c>
      <c r="T24" s="84">
        <f t="shared" si="5"/>
        <v>0</v>
      </c>
      <c r="U24" s="84">
        <f t="shared" si="3"/>
        <v>0</v>
      </c>
      <c r="V24" s="84">
        <f t="shared" si="3"/>
        <v>0</v>
      </c>
      <c r="W24" s="84">
        <f>SIS064_F_Kitossanaudoss1Elektrosenergi5</f>
        <v>0</v>
      </c>
      <c r="X24" s="84">
        <f>SUM(SIS062_F_Kitossanaudoss1Geriamojovande1,SIS063_F_Kitossanaudoss1Geriamojovande1,SIS065_F_Kitossanaudoss1Geriamojovande1)</f>
        <v>0</v>
      </c>
      <c r="Y24" s="84">
        <f>SUM(SIS062_F_Kitossanaudoss1Paslaugaproduk8,SIS063_F_Kitossanaudoss1Paslaugaproduk8,SIS065_F_Kitossanaudoss1Paslaugaproduk8)</f>
        <v>0</v>
      </c>
      <c r="Z24" s="84">
        <f>SIS064_F_Kitossanaudoss1Elektrosenergi6</f>
        <v>0</v>
      </c>
      <c r="AA24" s="84">
        <f>SUM(SIS062_F_Kitossanaudoss1Konkurencinesi1,SIS063_F_Kitossanaudoss1Konkurencinesi1,SIS065_F_Kitossanaudoss1Konkurencinesi1,)</f>
        <v>0</v>
      </c>
      <c r="AB24" s="84">
        <f>SUM(SIS062_F_Kitossanaudoss1Paslaugaproduk9,SIS063_F_Kitossanaudoss1Paslaugaproduk9,SIS065_F_Kitossanaudoss1Paslaugaproduk9)</f>
        <v>0</v>
      </c>
      <c r="AC24" s="85"/>
      <c r="AD24" s="86"/>
      <c r="AE24" s="86"/>
      <c r="AF24" s="86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8"/>
      <c r="AV24" s="85"/>
      <c r="AW24" s="86"/>
      <c r="AX24" s="86"/>
      <c r="AY24" s="86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8"/>
      <c r="BO24" s="85"/>
      <c r="BP24" s="86"/>
      <c r="BQ24" s="86"/>
      <c r="BR24" s="86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8"/>
      <c r="CH24" s="85"/>
      <c r="CI24" s="86"/>
      <c r="CJ24" s="86"/>
      <c r="CK24" s="86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8"/>
      <c r="DA24" s="85"/>
      <c r="DB24" s="86"/>
      <c r="DC24" s="86"/>
      <c r="DD24" s="86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8"/>
      <c r="DT24" s="85"/>
      <c r="DU24" s="86"/>
      <c r="DV24" s="86"/>
      <c r="DW24" s="86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8"/>
      <c r="EM24" s="85"/>
      <c r="EN24" s="86"/>
      <c r="EO24" s="86"/>
      <c r="EP24" s="86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9"/>
    </row>
    <row r="25" spans="2:162" s="6" customFormat="1" ht="13.2">
      <c r="B25" s="93" t="s">
        <v>43</v>
      </c>
      <c r="C25" s="94" t="s">
        <v>44</v>
      </c>
      <c r="D25" s="81">
        <f t="shared" ref="D25:BO25" si="6">SUM(D26:D44)</f>
        <v>972493.38</v>
      </c>
      <c r="E25" s="95">
        <f t="shared" si="6"/>
        <v>972493.38</v>
      </c>
      <c r="F25" s="96">
        <f t="shared" si="6"/>
        <v>0</v>
      </c>
      <c r="G25" s="96">
        <f t="shared" si="6"/>
        <v>0</v>
      </c>
      <c r="H25" s="96">
        <f t="shared" si="6"/>
        <v>0</v>
      </c>
      <c r="I25" s="97">
        <f t="shared" si="6"/>
        <v>0</v>
      </c>
      <c r="J25" s="97">
        <f t="shared" si="6"/>
        <v>0</v>
      </c>
      <c r="K25" s="97">
        <f t="shared" si="6"/>
        <v>0</v>
      </c>
      <c r="L25" s="97">
        <f t="shared" si="6"/>
        <v>0</v>
      </c>
      <c r="M25" s="97">
        <f t="shared" si="6"/>
        <v>0</v>
      </c>
      <c r="N25" s="97">
        <f t="shared" si="6"/>
        <v>0</v>
      </c>
      <c r="O25" s="97">
        <f t="shared" si="6"/>
        <v>0</v>
      </c>
      <c r="P25" s="97">
        <f t="shared" si="6"/>
        <v>0</v>
      </c>
      <c r="Q25" s="97">
        <f t="shared" si="6"/>
        <v>0</v>
      </c>
      <c r="R25" s="97">
        <f t="shared" si="6"/>
        <v>0</v>
      </c>
      <c r="S25" s="97">
        <f t="shared" si="6"/>
        <v>0</v>
      </c>
      <c r="T25" s="97">
        <f t="shared" si="6"/>
        <v>0</v>
      </c>
      <c r="U25" s="97">
        <f t="shared" si="6"/>
        <v>0</v>
      </c>
      <c r="V25" s="97">
        <f t="shared" si="6"/>
        <v>0</v>
      </c>
      <c r="W25" s="97">
        <f t="shared" si="6"/>
        <v>0</v>
      </c>
      <c r="X25" s="97">
        <f t="shared" si="6"/>
        <v>0</v>
      </c>
      <c r="Y25" s="97">
        <f t="shared" si="6"/>
        <v>0</v>
      </c>
      <c r="Z25" s="97">
        <f t="shared" si="6"/>
        <v>0</v>
      </c>
      <c r="AA25" s="97">
        <f t="shared" si="6"/>
        <v>0</v>
      </c>
      <c r="AB25" s="97">
        <f t="shared" si="6"/>
        <v>0</v>
      </c>
      <c r="AC25" s="98">
        <f t="shared" si="6"/>
        <v>972493.38</v>
      </c>
      <c r="AD25" s="99">
        <f t="shared" si="6"/>
        <v>0</v>
      </c>
      <c r="AE25" s="99">
        <f t="shared" si="6"/>
        <v>0</v>
      </c>
      <c r="AF25" s="99">
        <f t="shared" si="6"/>
        <v>0</v>
      </c>
      <c r="AG25" s="100">
        <f t="shared" si="6"/>
        <v>0</v>
      </c>
      <c r="AH25" s="100">
        <f t="shared" si="6"/>
        <v>0</v>
      </c>
      <c r="AI25" s="100">
        <f t="shared" si="6"/>
        <v>0</v>
      </c>
      <c r="AJ25" s="100">
        <f t="shared" si="6"/>
        <v>0</v>
      </c>
      <c r="AK25" s="100">
        <f t="shared" si="6"/>
        <v>0</v>
      </c>
      <c r="AL25" s="100">
        <f t="shared" si="6"/>
        <v>0</v>
      </c>
      <c r="AM25" s="100">
        <f t="shared" si="6"/>
        <v>0</v>
      </c>
      <c r="AN25" s="100">
        <f t="shared" si="6"/>
        <v>0</v>
      </c>
      <c r="AO25" s="100">
        <f t="shared" si="6"/>
        <v>0</v>
      </c>
      <c r="AP25" s="100">
        <f t="shared" si="6"/>
        <v>0</v>
      </c>
      <c r="AQ25" s="100">
        <f t="shared" si="6"/>
        <v>0</v>
      </c>
      <c r="AR25" s="100">
        <f t="shared" si="6"/>
        <v>0</v>
      </c>
      <c r="AS25" s="100">
        <f t="shared" si="6"/>
        <v>0</v>
      </c>
      <c r="AT25" s="100">
        <f t="shared" si="6"/>
        <v>0</v>
      </c>
      <c r="AU25" s="97">
        <f t="shared" si="6"/>
        <v>0</v>
      </c>
      <c r="AV25" s="98">
        <f t="shared" si="6"/>
        <v>0</v>
      </c>
      <c r="AW25" s="99">
        <f t="shared" si="6"/>
        <v>0</v>
      </c>
      <c r="AX25" s="99">
        <f t="shared" si="6"/>
        <v>0</v>
      </c>
      <c r="AY25" s="99">
        <f t="shared" si="6"/>
        <v>0</v>
      </c>
      <c r="AZ25" s="100">
        <f t="shared" si="6"/>
        <v>0</v>
      </c>
      <c r="BA25" s="100">
        <f t="shared" si="6"/>
        <v>0</v>
      </c>
      <c r="BB25" s="100">
        <f t="shared" si="6"/>
        <v>0</v>
      </c>
      <c r="BC25" s="100">
        <f t="shared" si="6"/>
        <v>0</v>
      </c>
      <c r="BD25" s="100">
        <f t="shared" si="6"/>
        <v>0</v>
      </c>
      <c r="BE25" s="100">
        <f t="shared" si="6"/>
        <v>0</v>
      </c>
      <c r="BF25" s="100">
        <f t="shared" si="6"/>
        <v>0</v>
      </c>
      <c r="BG25" s="100">
        <f t="shared" si="6"/>
        <v>0</v>
      </c>
      <c r="BH25" s="100">
        <f t="shared" si="6"/>
        <v>0</v>
      </c>
      <c r="BI25" s="100">
        <f t="shared" si="6"/>
        <v>0</v>
      </c>
      <c r="BJ25" s="100">
        <f t="shared" si="6"/>
        <v>0</v>
      </c>
      <c r="BK25" s="100">
        <f t="shared" si="6"/>
        <v>0</v>
      </c>
      <c r="BL25" s="100">
        <f t="shared" si="6"/>
        <v>0</v>
      </c>
      <c r="BM25" s="100">
        <f t="shared" si="6"/>
        <v>0</v>
      </c>
      <c r="BN25" s="97">
        <f t="shared" si="6"/>
        <v>0</v>
      </c>
      <c r="BO25" s="98">
        <f t="shared" si="6"/>
        <v>0</v>
      </c>
      <c r="BP25" s="99">
        <f t="shared" ref="BP25:EA25" si="7">SUM(BP26:BP44)</f>
        <v>0</v>
      </c>
      <c r="BQ25" s="99">
        <f t="shared" si="7"/>
        <v>0</v>
      </c>
      <c r="BR25" s="99">
        <f t="shared" si="7"/>
        <v>0</v>
      </c>
      <c r="BS25" s="100">
        <f t="shared" si="7"/>
        <v>0</v>
      </c>
      <c r="BT25" s="100">
        <f t="shared" si="7"/>
        <v>0</v>
      </c>
      <c r="BU25" s="100">
        <f t="shared" si="7"/>
        <v>0</v>
      </c>
      <c r="BV25" s="100">
        <f t="shared" si="7"/>
        <v>0</v>
      </c>
      <c r="BW25" s="100">
        <f t="shared" si="7"/>
        <v>0</v>
      </c>
      <c r="BX25" s="100">
        <f t="shared" si="7"/>
        <v>0</v>
      </c>
      <c r="BY25" s="100">
        <f t="shared" si="7"/>
        <v>0</v>
      </c>
      <c r="BZ25" s="100">
        <f t="shared" si="7"/>
        <v>0</v>
      </c>
      <c r="CA25" s="100">
        <f t="shared" si="7"/>
        <v>0</v>
      </c>
      <c r="CB25" s="100">
        <f t="shared" si="7"/>
        <v>0</v>
      </c>
      <c r="CC25" s="100">
        <f t="shared" si="7"/>
        <v>0</v>
      </c>
      <c r="CD25" s="100">
        <f t="shared" si="7"/>
        <v>0</v>
      </c>
      <c r="CE25" s="100">
        <f t="shared" si="7"/>
        <v>0</v>
      </c>
      <c r="CF25" s="100">
        <f t="shared" si="7"/>
        <v>0</v>
      </c>
      <c r="CG25" s="97">
        <f t="shared" si="7"/>
        <v>0</v>
      </c>
      <c r="CH25" s="98">
        <f t="shared" si="7"/>
        <v>0</v>
      </c>
      <c r="CI25" s="99">
        <f t="shared" si="7"/>
        <v>0</v>
      </c>
      <c r="CJ25" s="99">
        <f t="shared" si="7"/>
        <v>0</v>
      </c>
      <c r="CK25" s="99">
        <f t="shared" si="7"/>
        <v>0</v>
      </c>
      <c r="CL25" s="100">
        <f t="shared" si="7"/>
        <v>0</v>
      </c>
      <c r="CM25" s="100">
        <f t="shared" si="7"/>
        <v>0</v>
      </c>
      <c r="CN25" s="100">
        <f t="shared" si="7"/>
        <v>0</v>
      </c>
      <c r="CO25" s="100">
        <f t="shared" si="7"/>
        <v>0</v>
      </c>
      <c r="CP25" s="100">
        <f t="shared" si="7"/>
        <v>0</v>
      </c>
      <c r="CQ25" s="100">
        <f t="shared" si="7"/>
        <v>0</v>
      </c>
      <c r="CR25" s="100">
        <f t="shared" si="7"/>
        <v>0</v>
      </c>
      <c r="CS25" s="100">
        <f t="shared" si="7"/>
        <v>0</v>
      </c>
      <c r="CT25" s="100">
        <f t="shared" si="7"/>
        <v>0</v>
      </c>
      <c r="CU25" s="100">
        <f t="shared" si="7"/>
        <v>0</v>
      </c>
      <c r="CV25" s="100">
        <f t="shared" si="7"/>
        <v>0</v>
      </c>
      <c r="CW25" s="100">
        <f t="shared" si="7"/>
        <v>0</v>
      </c>
      <c r="CX25" s="100">
        <f t="shared" si="7"/>
        <v>0</v>
      </c>
      <c r="CY25" s="100">
        <f t="shared" si="7"/>
        <v>0</v>
      </c>
      <c r="CZ25" s="97">
        <f t="shared" si="7"/>
        <v>0</v>
      </c>
      <c r="DA25" s="98">
        <f t="shared" si="7"/>
        <v>0</v>
      </c>
      <c r="DB25" s="99">
        <f t="shared" si="7"/>
        <v>0</v>
      </c>
      <c r="DC25" s="99">
        <f t="shared" si="7"/>
        <v>0</v>
      </c>
      <c r="DD25" s="99">
        <f t="shared" si="7"/>
        <v>0</v>
      </c>
      <c r="DE25" s="100">
        <f t="shared" si="7"/>
        <v>0</v>
      </c>
      <c r="DF25" s="100">
        <f t="shared" si="7"/>
        <v>0</v>
      </c>
      <c r="DG25" s="100">
        <f t="shared" si="7"/>
        <v>0</v>
      </c>
      <c r="DH25" s="100">
        <f t="shared" si="7"/>
        <v>0</v>
      </c>
      <c r="DI25" s="100">
        <f t="shared" si="7"/>
        <v>0</v>
      </c>
      <c r="DJ25" s="100">
        <f t="shared" si="7"/>
        <v>0</v>
      </c>
      <c r="DK25" s="100">
        <f t="shared" si="7"/>
        <v>0</v>
      </c>
      <c r="DL25" s="100">
        <f t="shared" si="7"/>
        <v>0</v>
      </c>
      <c r="DM25" s="100">
        <f t="shared" si="7"/>
        <v>0</v>
      </c>
      <c r="DN25" s="100">
        <f t="shared" si="7"/>
        <v>0</v>
      </c>
      <c r="DO25" s="100">
        <f t="shared" si="7"/>
        <v>0</v>
      </c>
      <c r="DP25" s="100">
        <f t="shared" si="7"/>
        <v>0</v>
      </c>
      <c r="DQ25" s="100">
        <f t="shared" si="7"/>
        <v>0</v>
      </c>
      <c r="DR25" s="100">
        <f t="shared" si="7"/>
        <v>0</v>
      </c>
      <c r="DS25" s="97">
        <f t="shared" si="7"/>
        <v>0</v>
      </c>
      <c r="DT25" s="98">
        <f t="shared" si="7"/>
        <v>0</v>
      </c>
      <c r="DU25" s="99">
        <f t="shared" si="7"/>
        <v>0</v>
      </c>
      <c r="DV25" s="99">
        <f t="shared" si="7"/>
        <v>0</v>
      </c>
      <c r="DW25" s="99">
        <f t="shared" si="7"/>
        <v>0</v>
      </c>
      <c r="DX25" s="100">
        <f t="shared" si="7"/>
        <v>0</v>
      </c>
      <c r="DY25" s="100">
        <f t="shared" si="7"/>
        <v>0</v>
      </c>
      <c r="DZ25" s="100">
        <f t="shared" si="7"/>
        <v>0</v>
      </c>
      <c r="EA25" s="100">
        <f t="shared" si="7"/>
        <v>0</v>
      </c>
      <c r="EB25" s="100">
        <f t="shared" ref="EB25:FE25" si="8">SUM(EB26:EB44)</f>
        <v>0</v>
      </c>
      <c r="EC25" s="100">
        <f t="shared" si="8"/>
        <v>0</v>
      </c>
      <c r="ED25" s="100">
        <f t="shared" si="8"/>
        <v>0</v>
      </c>
      <c r="EE25" s="100">
        <f t="shared" si="8"/>
        <v>0</v>
      </c>
      <c r="EF25" s="100">
        <f t="shared" si="8"/>
        <v>0</v>
      </c>
      <c r="EG25" s="100">
        <f t="shared" si="8"/>
        <v>0</v>
      </c>
      <c r="EH25" s="100">
        <f t="shared" si="8"/>
        <v>0</v>
      </c>
      <c r="EI25" s="100">
        <f t="shared" si="8"/>
        <v>0</v>
      </c>
      <c r="EJ25" s="100">
        <f t="shared" si="8"/>
        <v>0</v>
      </c>
      <c r="EK25" s="100">
        <f t="shared" si="8"/>
        <v>0</v>
      </c>
      <c r="EL25" s="97">
        <f t="shared" si="8"/>
        <v>0</v>
      </c>
      <c r="EM25" s="98">
        <f t="shared" si="8"/>
        <v>0</v>
      </c>
      <c r="EN25" s="99">
        <f t="shared" si="8"/>
        <v>0</v>
      </c>
      <c r="EO25" s="99">
        <f t="shared" si="8"/>
        <v>0</v>
      </c>
      <c r="EP25" s="99">
        <f t="shared" si="8"/>
        <v>0</v>
      </c>
      <c r="EQ25" s="100">
        <f t="shared" si="8"/>
        <v>0</v>
      </c>
      <c r="ER25" s="100">
        <f t="shared" si="8"/>
        <v>0</v>
      </c>
      <c r="ES25" s="100">
        <f t="shared" si="8"/>
        <v>0</v>
      </c>
      <c r="ET25" s="100">
        <f t="shared" si="8"/>
        <v>0</v>
      </c>
      <c r="EU25" s="100">
        <f t="shared" si="8"/>
        <v>0</v>
      </c>
      <c r="EV25" s="100">
        <f t="shared" si="8"/>
        <v>0</v>
      </c>
      <c r="EW25" s="100">
        <f t="shared" si="8"/>
        <v>0</v>
      </c>
      <c r="EX25" s="100">
        <f t="shared" si="8"/>
        <v>0</v>
      </c>
      <c r="EY25" s="100">
        <f t="shared" si="8"/>
        <v>0</v>
      </c>
      <c r="EZ25" s="100">
        <f t="shared" si="8"/>
        <v>0</v>
      </c>
      <c r="FA25" s="100">
        <f t="shared" si="8"/>
        <v>0</v>
      </c>
      <c r="FB25" s="100">
        <f t="shared" si="8"/>
        <v>0</v>
      </c>
      <c r="FC25" s="100">
        <f t="shared" si="8"/>
        <v>0</v>
      </c>
      <c r="FD25" s="100">
        <f t="shared" si="8"/>
        <v>0</v>
      </c>
      <c r="FE25" s="101">
        <f t="shared" si="8"/>
        <v>0</v>
      </c>
    </row>
    <row r="26" spans="2:162" s="6" customFormat="1" ht="13.2">
      <c r="B26" s="79" t="s">
        <v>45</v>
      </c>
      <c r="C26" s="102" t="s">
        <v>46</v>
      </c>
      <c r="D26" s="81">
        <f t="shared" ref="D26:D44" si="9">SUM(E26:AB26)</f>
        <v>241432.81</v>
      </c>
      <c r="E26" s="82">
        <f t="shared" ref="E26:T41" si="10">SUM(AC26,AV26,BO26,CH26,DA26,DT26,EM26)</f>
        <v>241432.81</v>
      </c>
      <c r="F26" s="83">
        <f t="shared" si="10"/>
        <v>0</v>
      </c>
      <c r="G26" s="83">
        <f t="shared" si="10"/>
        <v>0</v>
      </c>
      <c r="H26" s="83">
        <f t="shared" si="10"/>
        <v>0</v>
      </c>
      <c r="I26" s="84">
        <f t="shared" si="10"/>
        <v>0</v>
      </c>
      <c r="J26" s="84">
        <f t="shared" si="10"/>
        <v>0</v>
      </c>
      <c r="K26" s="84">
        <f t="shared" si="10"/>
        <v>0</v>
      </c>
      <c r="L26" s="84">
        <f t="shared" si="10"/>
        <v>0</v>
      </c>
      <c r="M26" s="84">
        <f t="shared" si="10"/>
        <v>0</v>
      </c>
      <c r="N26" s="84">
        <f t="shared" si="10"/>
        <v>0</v>
      </c>
      <c r="O26" s="84">
        <f t="shared" si="10"/>
        <v>0</v>
      </c>
      <c r="P26" s="84">
        <f t="shared" si="10"/>
        <v>0</v>
      </c>
      <c r="Q26" s="84">
        <f t="shared" si="10"/>
        <v>0</v>
      </c>
      <c r="R26" s="84">
        <f t="shared" si="10"/>
        <v>0</v>
      </c>
      <c r="S26" s="84">
        <f t="shared" si="10"/>
        <v>0</v>
      </c>
      <c r="T26" s="84">
        <f t="shared" si="10"/>
        <v>0</v>
      </c>
      <c r="U26" s="84">
        <f t="shared" ref="O26:V41" si="11">SUM(AS26,BL26,CE26,CX26,DQ26,EJ26,FC26)</f>
        <v>0</v>
      </c>
      <c r="V26" s="84">
        <f t="shared" si="11"/>
        <v>0</v>
      </c>
      <c r="W26" s="84">
        <f>SIS064_F_Gamtiniudujuis1Elektrosenergi5</f>
        <v>0</v>
      </c>
      <c r="X26" s="84">
        <f>SUM(SIS062_F_Gamtiniudujuis1Geriamojovande1,SIS063_F_Gamtiniudujuis1Geriamojovande1,SIS065_F_Gamtiniudujuis1Geriamojovande1)</f>
        <v>0</v>
      </c>
      <c r="Y26" s="84">
        <f>SUM(SIS062_F_Gamtiniudujuis1Paslaugaproduk8,SIS063_F_Gamtiniudujuis1Paslaugaproduk8,SIS065_F_Gamtiniudujuis1Paslaugaproduk8)</f>
        <v>0</v>
      </c>
      <c r="Z26" s="84">
        <f>SIS064_F_Gamtiniudujuis1Elektrosenergi6</f>
        <v>0</v>
      </c>
      <c r="AA26" s="84">
        <f>SUM(SIS062_F_Gamtiniudujuis1Konkurencinesi1,SIS063_F_Gamtiniudujuis1Konkurencinesi1,SIS065_F_Gamtiniudujuis1Konkurencinesi1,)</f>
        <v>0</v>
      </c>
      <c r="AB26" s="84">
        <f>SUM(SIS062_F_Gamtiniudujuis1Paslaugaproduk9,SIS063_F_Gamtiniudujuis1Paslaugaproduk9,SIS065_F_Gamtiniudujuis1Paslaugaproduk9)</f>
        <v>0</v>
      </c>
      <c r="AC26" s="85">
        <v>241432.81</v>
      </c>
      <c r="AD26" s="86"/>
      <c r="AE26" s="86"/>
      <c r="AF26" s="86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8"/>
      <c r="AV26" s="85"/>
      <c r="AW26" s="86"/>
      <c r="AX26" s="86"/>
      <c r="AY26" s="86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8"/>
      <c r="BO26" s="85"/>
      <c r="BP26" s="86"/>
      <c r="BQ26" s="86"/>
      <c r="BR26" s="86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8"/>
      <c r="CH26" s="85"/>
      <c r="CI26" s="86"/>
      <c r="CJ26" s="86"/>
      <c r="CK26" s="86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8"/>
      <c r="DA26" s="85"/>
      <c r="DB26" s="86"/>
      <c r="DC26" s="86"/>
      <c r="DD26" s="86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8"/>
      <c r="DT26" s="85"/>
      <c r="DU26" s="86"/>
      <c r="DV26" s="86"/>
      <c r="DW26" s="86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8"/>
      <c r="EM26" s="85"/>
      <c r="EN26" s="86"/>
      <c r="EO26" s="86"/>
      <c r="EP26" s="86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9"/>
    </row>
    <row r="27" spans="2:162" s="6" customFormat="1" ht="13.2">
      <c r="B27" s="79" t="s">
        <v>47</v>
      </c>
      <c r="C27" s="102" t="s">
        <v>48</v>
      </c>
      <c r="D27" s="81">
        <f t="shared" si="9"/>
        <v>0</v>
      </c>
      <c r="E27" s="82">
        <f t="shared" si="10"/>
        <v>0</v>
      </c>
      <c r="F27" s="83">
        <f t="shared" si="10"/>
        <v>0</v>
      </c>
      <c r="G27" s="83">
        <f t="shared" si="10"/>
        <v>0</v>
      </c>
      <c r="H27" s="83">
        <f t="shared" si="10"/>
        <v>0</v>
      </c>
      <c r="I27" s="84">
        <f t="shared" si="10"/>
        <v>0</v>
      </c>
      <c r="J27" s="84">
        <f t="shared" si="10"/>
        <v>0</v>
      </c>
      <c r="K27" s="84">
        <f t="shared" si="10"/>
        <v>0</v>
      </c>
      <c r="L27" s="84">
        <f t="shared" si="10"/>
        <v>0</v>
      </c>
      <c r="M27" s="84">
        <f t="shared" si="10"/>
        <v>0</v>
      </c>
      <c r="N27" s="84">
        <f t="shared" si="10"/>
        <v>0</v>
      </c>
      <c r="O27" s="84">
        <f t="shared" si="11"/>
        <v>0</v>
      </c>
      <c r="P27" s="84">
        <f t="shared" si="11"/>
        <v>0</v>
      </c>
      <c r="Q27" s="84">
        <f t="shared" si="11"/>
        <v>0</v>
      </c>
      <c r="R27" s="84">
        <f t="shared" si="11"/>
        <v>0</v>
      </c>
      <c r="S27" s="84">
        <f t="shared" si="11"/>
        <v>0</v>
      </c>
      <c r="T27" s="84">
        <f t="shared" si="11"/>
        <v>0</v>
      </c>
      <c r="U27" s="84">
        <f t="shared" si="11"/>
        <v>0</v>
      </c>
      <c r="V27" s="84">
        <f t="shared" si="11"/>
        <v>0</v>
      </c>
      <c r="W27" s="84">
        <f>SIS064_F_Mazutoisigijim1Elektrosenergi5</f>
        <v>0</v>
      </c>
      <c r="X27" s="84">
        <f>SUM(SIS062_F_Mazutoisigijim1Geriamojovande1,SIS063_F_Mazutoisigijim1Geriamojovande1,SIS065_F_Mazutoisigijim1Geriamojovande1)</f>
        <v>0</v>
      </c>
      <c r="Y27" s="84">
        <f>SUM(SIS062_F_Mazutoisigijim1Paslaugaproduk8,SIS063_F_Mazutoisigijim1Paslaugaproduk8,SIS065_F_Mazutoisigijim1Paslaugaproduk8)</f>
        <v>0</v>
      </c>
      <c r="Z27" s="84">
        <f>SIS064_F_Mazutoisigijim1Elektrosenergi6</f>
        <v>0</v>
      </c>
      <c r="AA27" s="84">
        <f>SUM(SIS062_F_Mazutoisigijim1Konkurencinesi1,SIS063_F_Mazutoisigijim1Konkurencinesi1,SIS065_F_Mazutoisigijim1Konkurencinesi1,)</f>
        <v>0</v>
      </c>
      <c r="AB27" s="84">
        <f>SUM(SIS062_F_Mazutoisigijim1Paslaugaproduk9,SIS063_F_Mazutoisigijim1Paslaugaproduk9,SIS065_F_Mazutoisigijim1Paslaugaproduk9)</f>
        <v>0</v>
      </c>
      <c r="AC27" s="85">
        <v>0</v>
      </c>
      <c r="AD27" s="86"/>
      <c r="AE27" s="86"/>
      <c r="AF27" s="86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8"/>
      <c r="AV27" s="85"/>
      <c r="AW27" s="86"/>
      <c r="AX27" s="86"/>
      <c r="AY27" s="86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8"/>
      <c r="BO27" s="85"/>
      <c r="BP27" s="86"/>
      <c r="BQ27" s="86"/>
      <c r="BR27" s="86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8"/>
      <c r="CH27" s="85"/>
      <c r="CI27" s="86"/>
      <c r="CJ27" s="86"/>
      <c r="CK27" s="86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8"/>
      <c r="DA27" s="85"/>
      <c r="DB27" s="86"/>
      <c r="DC27" s="86"/>
      <c r="DD27" s="86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8"/>
      <c r="DT27" s="85"/>
      <c r="DU27" s="86"/>
      <c r="DV27" s="86"/>
      <c r="DW27" s="86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8"/>
      <c r="EM27" s="85"/>
      <c r="EN27" s="86"/>
      <c r="EO27" s="86"/>
      <c r="EP27" s="86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9"/>
    </row>
    <row r="28" spans="2:162" s="6" customFormat="1" ht="26.4">
      <c r="B28" s="79" t="s">
        <v>49</v>
      </c>
      <c r="C28" s="102" t="s">
        <v>50</v>
      </c>
      <c r="D28" s="81">
        <f t="shared" si="9"/>
        <v>631175.75</v>
      </c>
      <c r="E28" s="82">
        <f t="shared" si="10"/>
        <v>631175.75</v>
      </c>
      <c r="F28" s="83">
        <f t="shared" si="10"/>
        <v>0</v>
      </c>
      <c r="G28" s="83">
        <f t="shared" si="10"/>
        <v>0</v>
      </c>
      <c r="H28" s="83">
        <f t="shared" si="10"/>
        <v>0</v>
      </c>
      <c r="I28" s="84">
        <f t="shared" si="10"/>
        <v>0</v>
      </c>
      <c r="J28" s="84">
        <f t="shared" si="10"/>
        <v>0</v>
      </c>
      <c r="K28" s="84">
        <f t="shared" si="10"/>
        <v>0</v>
      </c>
      <c r="L28" s="84">
        <f t="shared" si="10"/>
        <v>0</v>
      </c>
      <c r="M28" s="84">
        <f t="shared" si="10"/>
        <v>0</v>
      </c>
      <c r="N28" s="84">
        <f t="shared" si="10"/>
        <v>0</v>
      </c>
      <c r="O28" s="84">
        <f t="shared" si="11"/>
        <v>0</v>
      </c>
      <c r="P28" s="84">
        <f t="shared" si="11"/>
        <v>0</v>
      </c>
      <c r="Q28" s="84">
        <f t="shared" si="11"/>
        <v>0</v>
      </c>
      <c r="R28" s="84">
        <f t="shared" si="11"/>
        <v>0</v>
      </c>
      <c r="S28" s="84">
        <f t="shared" si="11"/>
        <v>0</v>
      </c>
      <c r="T28" s="84">
        <f t="shared" si="11"/>
        <v>0</v>
      </c>
      <c r="U28" s="84">
        <f t="shared" si="11"/>
        <v>0</v>
      </c>
      <c r="V28" s="84">
        <f t="shared" si="11"/>
        <v>0</v>
      </c>
      <c r="W28" s="84">
        <f>SIS064_F_Medienosisigij1Elektrosenergi5</f>
        <v>0</v>
      </c>
      <c r="X28" s="84">
        <f>SUM(SIS062_F_Medienosisigij1Geriamojovande1,SIS063_F_Medienosisigij1Geriamojovande1,SIS065_F_Medienosisigij1Geriamojovande1)</f>
        <v>0</v>
      </c>
      <c r="Y28" s="84">
        <f>SUM(SIS062_F_Medienosisigij1Paslaugaproduk8,SIS063_F_Medienosisigij1Paslaugaproduk8,SIS065_F_Medienosisigij1Paslaugaproduk8)</f>
        <v>0</v>
      </c>
      <c r="Z28" s="84">
        <f>SIS064_F_Medienosisigij1Elektrosenergi6</f>
        <v>0</v>
      </c>
      <c r="AA28" s="84">
        <f>SUM(SIS062_F_Medienosisigij1Konkurencinesi1,SIS063_F_Medienosisigij1Konkurencinesi1,SIS065_F_Medienosisigij1Konkurencinesi1,)</f>
        <v>0</v>
      </c>
      <c r="AB28" s="84">
        <f>SUM(SIS062_F_Medienosisigij1Paslaugaproduk9,SIS063_F_Medienosisigij1Paslaugaproduk9,SIS065_F_Medienosisigij1Paslaugaproduk9)</f>
        <v>0</v>
      </c>
      <c r="AC28" s="85">
        <v>631175.75</v>
      </c>
      <c r="AD28" s="86"/>
      <c r="AE28" s="86"/>
      <c r="AF28" s="86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8"/>
      <c r="AV28" s="85"/>
      <c r="AW28" s="86"/>
      <c r="AX28" s="86"/>
      <c r="AY28" s="86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8"/>
      <c r="BO28" s="85"/>
      <c r="BP28" s="86"/>
      <c r="BQ28" s="86"/>
      <c r="BR28" s="86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8"/>
      <c r="CH28" s="85"/>
      <c r="CI28" s="86"/>
      <c r="CJ28" s="86"/>
      <c r="CK28" s="86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8"/>
      <c r="DA28" s="85"/>
      <c r="DB28" s="86"/>
      <c r="DC28" s="86"/>
      <c r="DD28" s="86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8"/>
      <c r="DT28" s="85"/>
      <c r="DU28" s="86"/>
      <c r="DV28" s="86"/>
      <c r="DW28" s="86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8"/>
      <c r="EM28" s="85"/>
      <c r="EN28" s="86"/>
      <c r="EO28" s="86"/>
      <c r="EP28" s="86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9"/>
    </row>
    <row r="29" spans="2:162" s="6" customFormat="1" ht="26.4" hidden="1">
      <c r="B29" s="92" t="s">
        <v>51</v>
      </c>
      <c r="C29" s="102" t="s">
        <v>52</v>
      </c>
      <c r="D29" s="81">
        <f t="shared" si="9"/>
        <v>0</v>
      </c>
      <c r="E29" s="82">
        <f t="shared" si="10"/>
        <v>0</v>
      </c>
      <c r="F29" s="83">
        <f t="shared" si="10"/>
        <v>0</v>
      </c>
      <c r="G29" s="83">
        <f t="shared" si="10"/>
        <v>0</v>
      </c>
      <c r="H29" s="83">
        <f t="shared" si="10"/>
        <v>0</v>
      </c>
      <c r="I29" s="84">
        <f t="shared" si="10"/>
        <v>0</v>
      </c>
      <c r="J29" s="84">
        <f t="shared" si="10"/>
        <v>0</v>
      </c>
      <c r="K29" s="84">
        <f t="shared" si="10"/>
        <v>0</v>
      </c>
      <c r="L29" s="84">
        <f t="shared" si="10"/>
        <v>0</v>
      </c>
      <c r="M29" s="84">
        <f t="shared" si="10"/>
        <v>0</v>
      </c>
      <c r="N29" s="84">
        <f t="shared" si="10"/>
        <v>0</v>
      </c>
      <c r="O29" s="84">
        <f t="shared" si="11"/>
        <v>0</v>
      </c>
      <c r="P29" s="84">
        <f t="shared" si="11"/>
        <v>0</v>
      </c>
      <c r="Q29" s="84">
        <f t="shared" si="11"/>
        <v>0</v>
      </c>
      <c r="R29" s="84">
        <f t="shared" si="11"/>
        <v>0</v>
      </c>
      <c r="S29" s="84">
        <f t="shared" si="11"/>
        <v>0</v>
      </c>
      <c r="T29" s="84">
        <f t="shared" si="11"/>
        <v>0</v>
      </c>
      <c r="U29" s="84">
        <f t="shared" si="11"/>
        <v>0</v>
      </c>
      <c r="V29" s="84">
        <f t="shared" si="11"/>
        <v>0</v>
      </c>
      <c r="W29" s="84">
        <f t="array" ref="W29">SIS064_F_Medienosskiedr1Elektrosenergi5</f>
        <v>0</v>
      </c>
      <c r="X29" s="84">
        <f>SUM(SIS062_F_Medienosskiedr1Geriamojovande1,SIS063_F_Medienosskiedr1Geriamojovande1,SIS065_F_Medienosskiedr1Geriamojovande1,)</f>
        <v>0</v>
      </c>
      <c r="Y29" s="84">
        <f>SUM(SIS062_F_Medienosskiedr1Paslaugaproduk8,SIS063_F_Medienosskiedr1Paslaugaproduk8,SIS065_F_Medienosskiedr1Paslaugaproduk8,)</f>
        <v>0</v>
      </c>
      <c r="Z29" s="84">
        <f t="array" ref="Z29">SIS064_F_Medienosskiedr1Elektrosenergi6</f>
        <v>0</v>
      </c>
      <c r="AA29" s="84">
        <f>SUM(SIS062_F_Medienosskiedr1Konkurencinesi1,SIS063_F_Medienosskiedr1Konkurencinesi1,SIS065_F_Medienosskiedr1Konkurencinesi1,)</f>
        <v>0</v>
      </c>
      <c r="AB29" s="84">
        <f>SUM(SIS062_F_Medienosskiedr1Paslaugaproduk9,SIS063_F_Medienosskiedr1Paslaugaproduk9,SIS065_F_Medienosskiedr1Paslaugaproduk9,)</f>
        <v>0</v>
      </c>
      <c r="AC29" s="85">
        <v>0</v>
      </c>
      <c r="AD29" s="86"/>
      <c r="AE29" s="86"/>
      <c r="AF29" s="86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8"/>
      <c r="AV29" s="85"/>
      <c r="AW29" s="86"/>
      <c r="AX29" s="86"/>
      <c r="AY29" s="86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8"/>
      <c r="BO29" s="85"/>
      <c r="BP29" s="86"/>
      <c r="BQ29" s="86"/>
      <c r="BR29" s="86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8"/>
      <c r="CH29" s="85"/>
      <c r="CI29" s="86"/>
      <c r="CJ29" s="86"/>
      <c r="CK29" s="86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8"/>
      <c r="DA29" s="85"/>
      <c r="DB29" s="86"/>
      <c r="DC29" s="86"/>
      <c r="DD29" s="86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8"/>
      <c r="DT29" s="85"/>
      <c r="DU29" s="86"/>
      <c r="DV29" s="86"/>
      <c r="DW29" s="86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8"/>
      <c r="EM29" s="85"/>
      <c r="EN29" s="86"/>
      <c r="EO29" s="86"/>
      <c r="EP29" s="86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9"/>
    </row>
    <row r="30" spans="2:162" s="6" customFormat="1" ht="39.6" hidden="1">
      <c r="B30" s="92" t="s">
        <v>53</v>
      </c>
      <c r="C30" s="102" t="s">
        <v>54</v>
      </c>
      <c r="D30" s="81">
        <f t="shared" si="9"/>
        <v>0</v>
      </c>
      <c r="E30" s="82">
        <f t="shared" si="10"/>
        <v>0</v>
      </c>
      <c r="F30" s="83">
        <f t="shared" si="10"/>
        <v>0</v>
      </c>
      <c r="G30" s="83">
        <f t="shared" si="10"/>
        <v>0</v>
      </c>
      <c r="H30" s="83">
        <f t="shared" si="10"/>
        <v>0</v>
      </c>
      <c r="I30" s="84">
        <f t="shared" si="10"/>
        <v>0</v>
      </c>
      <c r="J30" s="84">
        <f t="shared" si="10"/>
        <v>0</v>
      </c>
      <c r="K30" s="84">
        <f t="shared" si="10"/>
        <v>0</v>
      </c>
      <c r="L30" s="84">
        <f t="shared" si="10"/>
        <v>0</v>
      </c>
      <c r="M30" s="84">
        <f t="shared" si="10"/>
        <v>0</v>
      </c>
      <c r="N30" s="84">
        <f t="shared" si="10"/>
        <v>0</v>
      </c>
      <c r="O30" s="84">
        <f t="shared" si="11"/>
        <v>0</v>
      </c>
      <c r="P30" s="84">
        <f t="shared" si="11"/>
        <v>0</v>
      </c>
      <c r="Q30" s="84">
        <f t="shared" si="11"/>
        <v>0</v>
      </c>
      <c r="R30" s="84">
        <f t="shared" si="11"/>
        <v>0</v>
      </c>
      <c r="S30" s="84">
        <f t="shared" si="11"/>
        <v>0</v>
      </c>
      <c r="T30" s="84">
        <f t="shared" si="11"/>
        <v>0</v>
      </c>
      <c r="U30" s="84">
        <f t="shared" si="11"/>
        <v>0</v>
      </c>
      <c r="V30" s="84">
        <f t="shared" si="11"/>
        <v>0</v>
      </c>
      <c r="W30" s="84">
        <f>SIS064_F_Medienoskilmes1Elektrosenergi5</f>
        <v>0</v>
      </c>
      <c r="X30" s="84">
        <f>SUM(SIS062_F_Medienoskilmes1Geriamojovande1,SIS063_F_Medienoskilmes1Geriamojovande1,SIS065_F_Medienoskilmes1Geriamojovande1)</f>
        <v>0</v>
      </c>
      <c r="Y30" s="84">
        <f>SUM(SIS062_F_Medienoskilmes1Paslaugaproduk8,SIS063_F_Medienoskilmes1Paslaugaproduk8,SIS065_F_Medienoskilmes1Paslaugaproduk8)</f>
        <v>0</v>
      </c>
      <c r="Z30" s="84">
        <f>SIS064_F_Medienoskilmes1Elektrosenergi6</f>
        <v>0</v>
      </c>
      <c r="AA30" s="84">
        <f>SUM(SIS062_F_Medienoskilmes1Konkurencinesi1,SIS063_F_Medienoskilmes1Konkurencinesi1,SIS065_F_Medienoskilmes1Konkurencinesi1,)</f>
        <v>0</v>
      </c>
      <c r="AB30" s="84">
        <f>SUM(SIS062_F_Medienoskilmes1Paslaugaproduk9,SIS063_F_Medienoskilmes1Paslaugaproduk9,SIS065_F_Medienoskilmes1Paslaugaproduk9)</f>
        <v>0</v>
      </c>
      <c r="AC30" s="85">
        <v>0</v>
      </c>
      <c r="AD30" s="86"/>
      <c r="AE30" s="86"/>
      <c r="AF30" s="86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8"/>
      <c r="AV30" s="85"/>
      <c r="AW30" s="86"/>
      <c r="AX30" s="86"/>
      <c r="AY30" s="86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8"/>
      <c r="BO30" s="85"/>
      <c r="BP30" s="86"/>
      <c r="BQ30" s="86"/>
      <c r="BR30" s="86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8"/>
      <c r="CH30" s="85"/>
      <c r="CI30" s="86"/>
      <c r="CJ30" s="86"/>
      <c r="CK30" s="86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8"/>
      <c r="DA30" s="85"/>
      <c r="DB30" s="86"/>
      <c r="DC30" s="86"/>
      <c r="DD30" s="86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8"/>
      <c r="DT30" s="85"/>
      <c r="DU30" s="86"/>
      <c r="DV30" s="86"/>
      <c r="DW30" s="86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8"/>
      <c r="EM30" s="85"/>
      <c r="EN30" s="86"/>
      <c r="EO30" s="86"/>
      <c r="EP30" s="86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  <c r="FD30" s="87"/>
      <c r="FE30" s="89"/>
    </row>
    <row r="31" spans="2:162" s="6" customFormat="1" ht="13.2">
      <c r="B31" s="92" t="s">
        <v>55</v>
      </c>
      <c r="C31" s="102" t="s">
        <v>56</v>
      </c>
      <c r="D31" s="81">
        <f t="shared" si="9"/>
        <v>30470.55</v>
      </c>
      <c r="E31" s="82">
        <f t="shared" si="10"/>
        <v>30470.55</v>
      </c>
      <c r="F31" s="83">
        <f t="shared" si="10"/>
        <v>0</v>
      </c>
      <c r="G31" s="83">
        <f t="shared" si="10"/>
        <v>0</v>
      </c>
      <c r="H31" s="83">
        <f t="shared" si="10"/>
        <v>0</v>
      </c>
      <c r="I31" s="84">
        <f t="shared" si="10"/>
        <v>0</v>
      </c>
      <c r="J31" s="84">
        <f t="shared" si="10"/>
        <v>0</v>
      </c>
      <c r="K31" s="84">
        <f t="shared" si="10"/>
        <v>0</v>
      </c>
      <c r="L31" s="84">
        <f t="shared" si="10"/>
        <v>0</v>
      </c>
      <c r="M31" s="84">
        <f t="shared" si="10"/>
        <v>0</v>
      </c>
      <c r="N31" s="84">
        <f t="shared" si="10"/>
        <v>0</v>
      </c>
      <c r="O31" s="84">
        <f t="shared" si="11"/>
        <v>0</v>
      </c>
      <c r="P31" s="84">
        <f t="shared" si="11"/>
        <v>0</v>
      </c>
      <c r="Q31" s="84">
        <f t="shared" si="11"/>
        <v>0</v>
      </c>
      <c r="R31" s="84">
        <f t="shared" si="11"/>
        <v>0</v>
      </c>
      <c r="S31" s="84">
        <f t="shared" si="11"/>
        <v>0</v>
      </c>
      <c r="T31" s="84">
        <f t="shared" si="11"/>
        <v>0</v>
      </c>
      <c r="U31" s="84">
        <f t="shared" si="11"/>
        <v>0</v>
      </c>
      <c r="V31" s="84">
        <f t="shared" si="11"/>
        <v>0</v>
      </c>
      <c r="W31" s="84">
        <f>SIS064_F_Malkinesmedien1Elektrosenergi5</f>
        <v>0</v>
      </c>
      <c r="X31" s="84">
        <f>SUM(SIS062_F_Malkinesmedien1Geriamojovande1,SIS063_F_Malkinesmedien1Geriamojovande1,SIS065_F_Malkinesmedien1Geriamojovande1)</f>
        <v>0</v>
      </c>
      <c r="Y31" s="84">
        <f>SUM(SIS062_F_Malkinesmedien1Paslaugaproduk8,SIS063_F_Malkinesmedien1Paslaugaproduk8,SIS065_F_Malkinesmedien1Paslaugaproduk8)</f>
        <v>0</v>
      </c>
      <c r="Z31" s="84">
        <f>SIS064_F_Malkinesmedien1Elektrosenergi6</f>
        <v>0</v>
      </c>
      <c r="AA31" s="84">
        <f>SUM(SIS062_F_Malkinesmedien1Konkurencinesi1,SIS063_F_Malkinesmedien1Konkurencinesi1,SIS065_F_Malkinesmedien1Konkurencinesi1,)</f>
        <v>0</v>
      </c>
      <c r="AB31" s="84">
        <f>SUM(SIS062_F_Malkinesmedien1Paslaugaproduk9,SIS063_F_Malkinesmedien1Paslaugaproduk9,SIS065_F_Malkinesmedien1Paslaugaproduk9)</f>
        <v>0</v>
      </c>
      <c r="AC31" s="85">
        <v>30470.55</v>
      </c>
      <c r="AD31" s="86"/>
      <c r="AE31" s="86"/>
      <c r="AF31" s="86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8"/>
      <c r="AV31" s="85"/>
      <c r="AW31" s="86"/>
      <c r="AX31" s="86"/>
      <c r="AY31" s="86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8"/>
      <c r="BO31" s="85"/>
      <c r="BP31" s="86"/>
      <c r="BQ31" s="86"/>
      <c r="BR31" s="86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8"/>
      <c r="CH31" s="85"/>
      <c r="CI31" s="86"/>
      <c r="CJ31" s="86"/>
      <c r="CK31" s="86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8"/>
      <c r="DA31" s="85"/>
      <c r="DB31" s="86"/>
      <c r="DC31" s="86"/>
      <c r="DD31" s="86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8"/>
      <c r="DT31" s="85"/>
      <c r="DU31" s="86"/>
      <c r="DV31" s="86"/>
      <c r="DW31" s="86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8"/>
      <c r="EM31" s="85"/>
      <c r="EN31" s="86"/>
      <c r="EO31" s="86"/>
      <c r="EP31" s="86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9"/>
    </row>
    <row r="32" spans="2:162" s="6" customFormat="1" ht="13.2" hidden="1">
      <c r="B32" s="92" t="s">
        <v>57</v>
      </c>
      <c r="C32" s="102" t="s">
        <v>58</v>
      </c>
      <c r="D32" s="81">
        <f t="shared" si="9"/>
        <v>0</v>
      </c>
      <c r="E32" s="82">
        <f t="shared" si="10"/>
        <v>0</v>
      </c>
      <c r="F32" s="83">
        <f t="shared" si="10"/>
        <v>0</v>
      </c>
      <c r="G32" s="83">
        <f t="shared" si="10"/>
        <v>0</v>
      </c>
      <c r="H32" s="83">
        <f t="shared" si="10"/>
        <v>0</v>
      </c>
      <c r="I32" s="84">
        <f t="shared" si="10"/>
        <v>0</v>
      </c>
      <c r="J32" s="84">
        <f t="shared" si="10"/>
        <v>0</v>
      </c>
      <c r="K32" s="84">
        <f t="shared" si="10"/>
        <v>0</v>
      </c>
      <c r="L32" s="84">
        <f t="shared" si="10"/>
        <v>0</v>
      </c>
      <c r="M32" s="84">
        <f t="shared" si="10"/>
        <v>0</v>
      </c>
      <c r="N32" s="84">
        <f t="shared" si="10"/>
        <v>0</v>
      </c>
      <c r="O32" s="84">
        <f t="shared" si="11"/>
        <v>0</v>
      </c>
      <c r="P32" s="84">
        <f t="shared" si="11"/>
        <v>0</v>
      </c>
      <c r="Q32" s="84">
        <f t="shared" si="11"/>
        <v>0</v>
      </c>
      <c r="R32" s="84">
        <f t="shared" si="11"/>
        <v>0</v>
      </c>
      <c r="S32" s="84">
        <f t="shared" si="11"/>
        <v>0</v>
      </c>
      <c r="T32" s="84">
        <f t="shared" si="11"/>
        <v>0</v>
      </c>
      <c r="U32" s="84">
        <f t="shared" si="11"/>
        <v>0</v>
      </c>
      <c r="V32" s="84">
        <f t="shared" si="11"/>
        <v>0</v>
      </c>
      <c r="W32" s="84">
        <f>SIS064_F_Medienosbriket1Elektrosenergi5</f>
        <v>0</v>
      </c>
      <c r="X32" s="84">
        <f>SUM(SIS062_F_Medienosbriket1Geriamojovande1,SIS063_F_Medienosbriket1Geriamojovande1,SIS065_F_Medienosbriket1Geriamojovande1)</f>
        <v>0</v>
      </c>
      <c r="Y32" s="84">
        <f>SUM(SIS062_F_Medienosbriket1Paslaugaproduk8,SIS063_F_Medienosbriket1Paslaugaproduk8,SIS065_F_Medienosbriket1Paslaugaproduk8)</f>
        <v>0</v>
      </c>
      <c r="Z32" s="84">
        <f>SIS064_F_Medienosbriket1Elektrosenergi6</f>
        <v>0</v>
      </c>
      <c r="AA32" s="84">
        <f>SUM(SIS062_F_Medienosbriket1Konkurencinesi1,SIS063_F_Medienosbriket1Konkurencinesi1,SIS065_F_Medienosbriket1Konkurencinesi1,)</f>
        <v>0</v>
      </c>
      <c r="AB32" s="84">
        <f>SUM(SIS062_F_Medienosbriket1Paslaugaproduk9,SIS063_F_Medienosbriket1Paslaugaproduk9,SIS065_F_Medienosbriket1Paslaugaproduk9)</f>
        <v>0</v>
      </c>
      <c r="AC32" s="85">
        <v>0</v>
      </c>
      <c r="AD32" s="86"/>
      <c r="AE32" s="86"/>
      <c r="AF32" s="86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8"/>
      <c r="AV32" s="85"/>
      <c r="AW32" s="86"/>
      <c r="AX32" s="86"/>
      <c r="AY32" s="86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8"/>
      <c r="BO32" s="85"/>
      <c r="BP32" s="86"/>
      <c r="BQ32" s="86"/>
      <c r="BR32" s="86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8"/>
      <c r="CH32" s="85"/>
      <c r="CI32" s="86"/>
      <c r="CJ32" s="86"/>
      <c r="CK32" s="86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8"/>
      <c r="DA32" s="85"/>
      <c r="DB32" s="86"/>
      <c r="DC32" s="86"/>
      <c r="DD32" s="86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8"/>
      <c r="DT32" s="85"/>
      <c r="DU32" s="86"/>
      <c r="DV32" s="86"/>
      <c r="DW32" s="86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8"/>
      <c r="EM32" s="85"/>
      <c r="EN32" s="86"/>
      <c r="EO32" s="86"/>
      <c r="EP32" s="86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  <c r="FD32" s="87"/>
      <c r="FE32" s="89"/>
    </row>
    <row r="33" spans="2:161" s="6" customFormat="1" ht="13.2">
      <c r="B33" s="92" t="s">
        <v>59</v>
      </c>
      <c r="C33" s="102" t="s">
        <v>60</v>
      </c>
      <c r="D33" s="81">
        <f>SUM(E33:AB33)</f>
        <v>68266.58</v>
      </c>
      <c r="E33" s="82">
        <f t="shared" si="10"/>
        <v>68266.58</v>
      </c>
      <c r="F33" s="83">
        <f t="shared" si="10"/>
        <v>0</v>
      </c>
      <c r="G33" s="83">
        <f t="shared" si="10"/>
        <v>0</v>
      </c>
      <c r="H33" s="83">
        <f t="shared" si="10"/>
        <v>0</v>
      </c>
      <c r="I33" s="84">
        <f t="shared" si="10"/>
        <v>0</v>
      </c>
      <c r="J33" s="84">
        <f t="shared" si="10"/>
        <v>0</v>
      </c>
      <c r="K33" s="84">
        <f t="shared" si="10"/>
        <v>0</v>
      </c>
      <c r="L33" s="84">
        <f t="shared" si="10"/>
        <v>0</v>
      </c>
      <c r="M33" s="84">
        <f t="shared" si="10"/>
        <v>0</v>
      </c>
      <c r="N33" s="84">
        <f t="shared" si="10"/>
        <v>0</v>
      </c>
      <c r="O33" s="84">
        <f t="shared" si="10"/>
        <v>0</v>
      </c>
      <c r="P33" s="84">
        <f t="shared" si="10"/>
        <v>0</v>
      </c>
      <c r="Q33" s="84">
        <f t="shared" si="10"/>
        <v>0</v>
      </c>
      <c r="R33" s="84">
        <f t="shared" si="10"/>
        <v>0</v>
      </c>
      <c r="S33" s="84">
        <f t="shared" si="10"/>
        <v>0</v>
      </c>
      <c r="T33" s="84">
        <f t="shared" si="10"/>
        <v>0</v>
      </c>
      <c r="U33" s="84">
        <f t="shared" si="11"/>
        <v>0</v>
      </c>
      <c r="V33" s="84">
        <f t="shared" si="11"/>
        <v>0</v>
      </c>
      <c r="W33" s="84">
        <f>SIS064_F_Medziogranuliu1Elektrosenergi5</f>
        <v>0</v>
      </c>
      <c r="X33" s="84">
        <f>SUM(SIS062_F_Medziogranuliu1Geriamojovande1,SIS063_F_Medziogranuliu1Geriamojovande1,SIS065_F_Medziogranuliu1Geriamojovande1)</f>
        <v>0</v>
      </c>
      <c r="Y33" s="84">
        <f>SUM(SIS062_F_Medziogranuliu1Paslaugaproduk8,SIS063_F_Medziogranuliu1Paslaugaproduk8,SIS065_F_Medziogranuliu1Paslaugaproduk8)</f>
        <v>0</v>
      </c>
      <c r="Z33" s="84">
        <f>SIS064_F_Medziogranuliu1Elektrosenergi6</f>
        <v>0</v>
      </c>
      <c r="AA33" s="84">
        <f>SUM(SIS062_F_Medziogranuliu1Konkurencinesi1,SIS063_F_Medziogranuliu1Konkurencinesi1,SIS065_F_Medziogranuliu1Konkurencinesi1,)</f>
        <v>0</v>
      </c>
      <c r="AB33" s="84">
        <f>SUM(SIS062_F_Medziogranuliu1Paslaugaproduk9,SIS063_F_Medziogranuliu1Paslaugaproduk9,SIS065_F_Medziogranuliu1Paslaugaproduk9)</f>
        <v>0</v>
      </c>
      <c r="AC33" s="85">
        <v>68266.58</v>
      </c>
      <c r="AD33" s="86"/>
      <c r="AE33" s="86"/>
      <c r="AF33" s="86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8"/>
      <c r="AV33" s="85"/>
      <c r="AW33" s="86"/>
      <c r="AX33" s="86"/>
      <c r="AY33" s="86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8"/>
      <c r="BO33" s="85"/>
      <c r="BP33" s="86"/>
      <c r="BQ33" s="86"/>
      <c r="BR33" s="86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8"/>
      <c r="CH33" s="85"/>
      <c r="CI33" s="86"/>
      <c r="CJ33" s="86"/>
      <c r="CK33" s="86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8"/>
      <c r="DA33" s="85"/>
      <c r="DB33" s="86"/>
      <c r="DC33" s="86"/>
      <c r="DD33" s="86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8"/>
      <c r="DT33" s="85"/>
      <c r="DU33" s="86"/>
      <c r="DV33" s="86"/>
      <c r="DW33" s="86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8"/>
      <c r="EM33" s="85"/>
      <c r="EN33" s="86"/>
      <c r="EO33" s="86"/>
      <c r="EP33" s="86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9"/>
    </row>
    <row r="34" spans="2:161" s="6" customFormat="1" ht="13.2" hidden="1">
      <c r="B34" s="92" t="s">
        <v>61</v>
      </c>
      <c r="C34" s="102" t="s">
        <v>62</v>
      </c>
      <c r="D34" s="81">
        <f t="shared" si="9"/>
        <v>0</v>
      </c>
      <c r="E34" s="82">
        <f t="shared" si="10"/>
        <v>0</v>
      </c>
      <c r="F34" s="83">
        <f t="shared" si="10"/>
        <v>0</v>
      </c>
      <c r="G34" s="83">
        <f t="shared" si="10"/>
        <v>0</v>
      </c>
      <c r="H34" s="83">
        <f t="shared" si="10"/>
        <v>0</v>
      </c>
      <c r="I34" s="84">
        <f t="shared" si="10"/>
        <v>0</v>
      </c>
      <c r="J34" s="84">
        <f t="shared" si="10"/>
        <v>0</v>
      </c>
      <c r="K34" s="84">
        <f t="shared" si="10"/>
        <v>0</v>
      </c>
      <c r="L34" s="84">
        <f t="shared" si="10"/>
        <v>0</v>
      </c>
      <c r="M34" s="84">
        <f t="shared" si="10"/>
        <v>0</v>
      </c>
      <c r="N34" s="84">
        <f t="shared" si="10"/>
        <v>0</v>
      </c>
      <c r="O34" s="84">
        <f t="shared" si="11"/>
        <v>0</v>
      </c>
      <c r="P34" s="84">
        <f t="shared" si="11"/>
        <v>0</v>
      </c>
      <c r="Q34" s="84">
        <f t="shared" si="11"/>
        <v>0</v>
      </c>
      <c r="R34" s="84">
        <f t="shared" si="11"/>
        <v>0</v>
      </c>
      <c r="S34" s="84">
        <f t="shared" si="11"/>
        <v>0</v>
      </c>
      <c r="T34" s="84">
        <f t="shared" si="11"/>
        <v>0</v>
      </c>
      <c r="U34" s="84">
        <f t="shared" si="11"/>
        <v>0</v>
      </c>
      <c r="V34" s="84">
        <f t="shared" si="11"/>
        <v>0</v>
      </c>
      <c r="W34" s="84">
        <f>SIS064_F_Skalunualyvosi1Elektrosenergi5</f>
        <v>0</v>
      </c>
      <c r="X34" s="84">
        <f>SUM(SIS062_F_Skalunualyvosi1Geriamojovande1,SIS063_F_Skalunualyvosi1Geriamojovande1,SIS065_F_Skalunualyvosi1Geriamojovande1)</f>
        <v>0</v>
      </c>
      <c r="Y34" s="84">
        <f>SUM(SIS062_F_Skalunualyvosi1Paslaugaproduk8,SIS063_F_Skalunualyvosi1Paslaugaproduk8,SIS065_F_Skalunualyvosi1Paslaugaproduk8)</f>
        <v>0</v>
      </c>
      <c r="Z34" s="84">
        <f>SIS064_F_Skalunualyvosi1Elektrosenergi6</f>
        <v>0</v>
      </c>
      <c r="AA34" s="84">
        <f>SUM(SIS062_F_Skalunualyvosi1Konkurencinesi1,SIS063_F_Skalunualyvosi1Konkurencinesi1,SIS065_F_Skalunualyvosi1Konkurencinesi1,)</f>
        <v>0</v>
      </c>
      <c r="AB34" s="84">
        <f>SUM(SIS062_F_Skalunualyvosi1Paslaugaproduk9,SIS063_F_Skalunualyvosi1Paslaugaproduk9,SIS065_F_Skalunualyvosi1Paslaugaproduk9)</f>
        <v>0</v>
      </c>
      <c r="AC34" s="85">
        <v>0</v>
      </c>
      <c r="AD34" s="86"/>
      <c r="AE34" s="86"/>
      <c r="AF34" s="86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8"/>
      <c r="AV34" s="85"/>
      <c r="AW34" s="86"/>
      <c r="AX34" s="86"/>
      <c r="AY34" s="86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8"/>
      <c r="BO34" s="85"/>
      <c r="BP34" s="86"/>
      <c r="BQ34" s="86"/>
      <c r="BR34" s="86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8"/>
      <c r="CH34" s="85"/>
      <c r="CI34" s="86"/>
      <c r="CJ34" s="86"/>
      <c r="CK34" s="86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8"/>
      <c r="DA34" s="85"/>
      <c r="DB34" s="86"/>
      <c r="DC34" s="86"/>
      <c r="DD34" s="86"/>
      <c r="DE34" s="87"/>
      <c r="DF34" s="87"/>
      <c r="DG34" s="87"/>
      <c r="DH34" s="87"/>
      <c r="DI34" s="87"/>
      <c r="DJ34" s="87"/>
      <c r="DK34" s="87"/>
      <c r="DL34" s="87"/>
      <c r="DM34" s="87"/>
      <c r="DN34" s="87"/>
      <c r="DO34" s="87"/>
      <c r="DP34" s="87"/>
      <c r="DQ34" s="87"/>
      <c r="DR34" s="87"/>
      <c r="DS34" s="88"/>
      <c r="DT34" s="85"/>
      <c r="DU34" s="86"/>
      <c r="DV34" s="86"/>
      <c r="DW34" s="86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8"/>
      <c r="EM34" s="85"/>
      <c r="EN34" s="86"/>
      <c r="EO34" s="86"/>
      <c r="EP34" s="86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  <c r="FD34" s="87"/>
      <c r="FE34" s="89"/>
    </row>
    <row r="35" spans="2:161" s="6" customFormat="1" ht="13.2">
      <c r="B35" s="92" t="s">
        <v>63</v>
      </c>
      <c r="C35" s="102" t="s">
        <v>64</v>
      </c>
      <c r="D35" s="81">
        <f t="shared" si="9"/>
        <v>1147.69</v>
      </c>
      <c r="E35" s="82">
        <f t="shared" si="10"/>
        <v>1147.69</v>
      </c>
      <c r="F35" s="83">
        <f t="shared" si="10"/>
        <v>0</v>
      </c>
      <c r="G35" s="83">
        <f t="shared" si="10"/>
        <v>0</v>
      </c>
      <c r="H35" s="83">
        <f t="shared" si="10"/>
        <v>0</v>
      </c>
      <c r="I35" s="84">
        <f t="shared" si="10"/>
        <v>0</v>
      </c>
      <c r="J35" s="84">
        <f t="shared" si="10"/>
        <v>0</v>
      </c>
      <c r="K35" s="84">
        <f t="shared" si="10"/>
        <v>0</v>
      </c>
      <c r="L35" s="84">
        <f t="shared" si="10"/>
        <v>0</v>
      </c>
      <c r="M35" s="84">
        <f t="shared" si="10"/>
        <v>0</v>
      </c>
      <c r="N35" s="84">
        <f t="shared" si="10"/>
        <v>0</v>
      </c>
      <c r="O35" s="84">
        <f t="shared" si="11"/>
        <v>0</v>
      </c>
      <c r="P35" s="84">
        <f t="shared" si="11"/>
        <v>0</v>
      </c>
      <c r="Q35" s="84">
        <f t="shared" si="11"/>
        <v>0</v>
      </c>
      <c r="R35" s="84">
        <f t="shared" si="11"/>
        <v>0</v>
      </c>
      <c r="S35" s="84">
        <f t="shared" si="11"/>
        <v>0</v>
      </c>
      <c r="T35" s="84">
        <f t="shared" si="11"/>
        <v>0</v>
      </c>
      <c r="U35" s="84">
        <f t="shared" si="11"/>
        <v>0</v>
      </c>
      <c r="V35" s="84">
        <f t="shared" si="11"/>
        <v>0</v>
      </c>
      <c r="W35" s="84">
        <f>SIS064_F_Dyzelinoisigij1Elektrosenergi5</f>
        <v>0</v>
      </c>
      <c r="X35" s="84">
        <f>SUM(SIS062_F_Dyzelinoisigij1Geriamojovande1,SIS063_F_Dyzelinoisigij1Geriamojovande1,SIS065_F_Dyzelinoisigij1Geriamojovande1)</f>
        <v>0</v>
      </c>
      <c r="Y35" s="84">
        <f>SUM(SIS062_F_Dyzelinoisigij1Paslaugaproduk8,SIS063_F_Dyzelinoisigij1Paslaugaproduk8,SIS065_F_Dyzelinoisigij1Paslaugaproduk8)</f>
        <v>0</v>
      </c>
      <c r="Z35" s="84">
        <f>SIS064_F_Dyzelinoisigij1Elektrosenergi6</f>
        <v>0</v>
      </c>
      <c r="AA35" s="84">
        <f>SUM(SIS062_F_Dyzelinoisigij1Konkurencinesi1,SIS063_F_Dyzelinoisigij1Konkurencinesi1,SIS065_F_Dyzelinoisigij1Konkurencinesi1,)</f>
        <v>0</v>
      </c>
      <c r="AB35" s="84">
        <f>SUM(SIS062_F_Dyzelinoisigij1Paslaugaproduk9,SIS063_F_Dyzelinoisigij1Paslaugaproduk9,SIS065_F_Dyzelinoisigij1Paslaugaproduk9)</f>
        <v>0</v>
      </c>
      <c r="AC35" s="85">
        <v>1147.69</v>
      </c>
      <c r="AD35" s="86"/>
      <c r="AE35" s="86"/>
      <c r="AF35" s="86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8"/>
      <c r="AV35" s="85"/>
      <c r="AW35" s="86"/>
      <c r="AX35" s="86"/>
      <c r="AY35" s="86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8"/>
      <c r="BO35" s="85"/>
      <c r="BP35" s="86"/>
      <c r="BQ35" s="86"/>
      <c r="BR35" s="86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8"/>
      <c r="CH35" s="85"/>
      <c r="CI35" s="86"/>
      <c r="CJ35" s="86"/>
      <c r="CK35" s="86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8"/>
      <c r="DA35" s="85"/>
      <c r="DB35" s="86"/>
      <c r="DC35" s="86"/>
      <c r="DD35" s="86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8"/>
      <c r="DT35" s="85"/>
      <c r="DU35" s="86"/>
      <c r="DV35" s="86"/>
      <c r="DW35" s="86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8"/>
      <c r="EM35" s="85"/>
      <c r="EN35" s="86"/>
      <c r="EO35" s="86"/>
      <c r="EP35" s="86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9"/>
    </row>
    <row r="36" spans="2:161" s="6" customFormat="1" ht="13.2" hidden="1">
      <c r="B36" s="92" t="s">
        <v>65</v>
      </c>
      <c r="C36" s="102" t="s">
        <v>66</v>
      </c>
      <c r="D36" s="81">
        <f t="shared" si="9"/>
        <v>0</v>
      </c>
      <c r="E36" s="82">
        <f t="shared" si="10"/>
        <v>0</v>
      </c>
      <c r="F36" s="83">
        <f t="shared" si="10"/>
        <v>0</v>
      </c>
      <c r="G36" s="83">
        <f t="shared" si="10"/>
        <v>0</v>
      </c>
      <c r="H36" s="83">
        <f t="shared" si="10"/>
        <v>0</v>
      </c>
      <c r="I36" s="84">
        <f t="shared" si="10"/>
        <v>0</v>
      </c>
      <c r="J36" s="84">
        <f t="shared" si="10"/>
        <v>0</v>
      </c>
      <c r="K36" s="84">
        <f t="shared" si="10"/>
        <v>0</v>
      </c>
      <c r="L36" s="84">
        <f t="shared" si="10"/>
        <v>0</v>
      </c>
      <c r="M36" s="84">
        <f t="shared" si="10"/>
        <v>0</v>
      </c>
      <c r="N36" s="84">
        <f t="shared" si="10"/>
        <v>0</v>
      </c>
      <c r="O36" s="84">
        <f t="shared" si="11"/>
        <v>0</v>
      </c>
      <c r="P36" s="84">
        <f t="shared" si="11"/>
        <v>0</v>
      </c>
      <c r="Q36" s="84">
        <f t="shared" si="11"/>
        <v>0</v>
      </c>
      <c r="R36" s="84">
        <f t="shared" si="11"/>
        <v>0</v>
      </c>
      <c r="S36" s="84">
        <f t="shared" si="11"/>
        <v>0</v>
      </c>
      <c r="T36" s="84">
        <f t="shared" si="11"/>
        <v>0</v>
      </c>
      <c r="U36" s="84">
        <f t="shared" si="11"/>
        <v>0</v>
      </c>
      <c r="V36" s="84">
        <f t="shared" si="11"/>
        <v>0</v>
      </c>
      <c r="W36" s="84">
        <f>SIS064_F_Suskystintuduj1Elektrosenergi5</f>
        <v>0</v>
      </c>
      <c r="X36" s="84">
        <f>SUM(SIS062_F_Suskystintuduj1Geriamojovande1,SIS063_F_Suskystintuduj1Geriamojovande1,SIS065_F_Suskystintuduj1Geriamojovande1)</f>
        <v>0</v>
      </c>
      <c r="Y36" s="84">
        <f>SUM(SIS062_F_Suskystintuduj1Paslaugaproduk8,SIS063_F_Suskystintuduj1Paslaugaproduk8,SIS065_F_Suskystintuduj1Paslaugaproduk8)</f>
        <v>0</v>
      </c>
      <c r="Z36" s="84">
        <f>SIS064_F_Suskystintuduj1Elektrosenergi6</f>
        <v>0</v>
      </c>
      <c r="AA36" s="84">
        <f>SUM(SIS062_F_Suskystintuduj1Konkurencinesi1,SIS063_F_Suskystintuduj1Konkurencinesi1,SIS065_F_Suskystintuduj1Konkurencinesi1,)</f>
        <v>0</v>
      </c>
      <c r="AB36" s="84">
        <f>SUM(SIS062_F_Suskystintuduj1Paslaugaproduk9,SIS063_F_Suskystintuduj1Paslaugaproduk9,SIS065_F_Suskystintuduj1Paslaugaproduk9)</f>
        <v>0</v>
      </c>
      <c r="AC36" s="85"/>
      <c r="AD36" s="86"/>
      <c r="AE36" s="86"/>
      <c r="AF36" s="86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8"/>
      <c r="AV36" s="85"/>
      <c r="AW36" s="86"/>
      <c r="AX36" s="86"/>
      <c r="AY36" s="86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8"/>
      <c r="BO36" s="85"/>
      <c r="BP36" s="86"/>
      <c r="BQ36" s="86"/>
      <c r="BR36" s="86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8"/>
      <c r="CH36" s="85"/>
      <c r="CI36" s="86"/>
      <c r="CJ36" s="86"/>
      <c r="CK36" s="86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8"/>
      <c r="DA36" s="85"/>
      <c r="DB36" s="86"/>
      <c r="DC36" s="86"/>
      <c r="DD36" s="86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8"/>
      <c r="DT36" s="85"/>
      <c r="DU36" s="86"/>
      <c r="DV36" s="86"/>
      <c r="DW36" s="86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8"/>
      <c r="EM36" s="85"/>
      <c r="EN36" s="86"/>
      <c r="EO36" s="86"/>
      <c r="EP36" s="86"/>
      <c r="EQ36" s="87"/>
      <c r="ER36" s="87"/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9"/>
    </row>
    <row r="37" spans="2:161" s="6" customFormat="1" ht="13.2" hidden="1">
      <c r="B37" s="92" t="s">
        <v>67</v>
      </c>
      <c r="C37" s="102" t="s">
        <v>68</v>
      </c>
      <c r="D37" s="81">
        <f t="shared" si="9"/>
        <v>0</v>
      </c>
      <c r="E37" s="82">
        <f t="shared" si="10"/>
        <v>0</v>
      </c>
      <c r="F37" s="83">
        <f t="shared" si="10"/>
        <v>0</v>
      </c>
      <c r="G37" s="83">
        <f t="shared" si="10"/>
        <v>0</v>
      </c>
      <c r="H37" s="83">
        <f t="shared" si="10"/>
        <v>0</v>
      </c>
      <c r="I37" s="84">
        <f t="shared" si="10"/>
        <v>0</v>
      </c>
      <c r="J37" s="84">
        <f t="shared" si="10"/>
        <v>0</v>
      </c>
      <c r="K37" s="84">
        <f t="shared" si="10"/>
        <v>0</v>
      </c>
      <c r="L37" s="84">
        <f t="shared" si="10"/>
        <v>0</v>
      </c>
      <c r="M37" s="84">
        <f t="shared" si="10"/>
        <v>0</v>
      </c>
      <c r="N37" s="84">
        <f t="shared" si="10"/>
        <v>0</v>
      </c>
      <c r="O37" s="84">
        <f t="shared" si="11"/>
        <v>0</v>
      </c>
      <c r="P37" s="84">
        <f t="shared" si="11"/>
        <v>0</v>
      </c>
      <c r="Q37" s="84">
        <f t="shared" si="11"/>
        <v>0</v>
      </c>
      <c r="R37" s="84">
        <f t="shared" si="11"/>
        <v>0</v>
      </c>
      <c r="S37" s="84">
        <f t="shared" si="11"/>
        <v>0</v>
      </c>
      <c r="T37" s="84">
        <f t="shared" si="11"/>
        <v>0</v>
      </c>
      <c r="U37" s="84">
        <f t="shared" si="11"/>
        <v>0</v>
      </c>
      <c r="V37" s="84">
        <f t="shared" si="11"/>
        <v>0</v>
      </c>
      <c r="W37" s="84">
        <f>SIS064_F_Akmensangliesi1Elektrosenergi5</f>
        <v>0</v>
      </c>
      <c r="X37" s="84">
        <f>SUM(SIS062_F_Akmensangliesi1Geriamojovande1,SIS063_F_Akmensangliesi1Geriamojovande1,SIS065_F_Akmensangliesi1Geriamojovande1)</f>
        <v>0</v>
      </c>
      <c r="Y37" s="84">
        <f>SUM(SIS062_F_Akmensangliesi1Paslaugaproduk8,SIS063_F_Akmensangliesi1Paslaugaproduk8,SIS065_F_Akmensangliesi1Paslaugaproduk8)</f>
        <v>0</v>
      </c>
      <c r="Z37" s="84">
        <f>SIS064_F_Akmensangliesi1Elektrosenergi6</f>
        <v>0</v>
      </c>
      <c r="AA37" s="84">
        <f>SUM(SIS062_F_Akmensangliesi1Konkurencinesi1,SIS063_F_Akmensangliesi1Konkurencinesi1,SIS065_F_Akmensangliesi1Konkurencinesi1,)</f>
        <v>0</v>
      </c>
      <c r="AB37" s="84">
        <f>SUM(SIS062_F_Akmensangliesi1Paslaugaproduk9,SIS063_F_Akmensangliesi1Paslaugaproduk9,SIS065_F_Akmensangliesi1Paslaugaproduk9)</f>
        <v>0</v>
      </c>
      <c r="AC37" s="85"/>
      <c r="AD37" s="86"/>
      <c r="AE37" s="86"/>
      <c r="AF37" s="86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8"/>
      <c r="AV37" s="85"/>
      <c r="AW37" s="86"/>
      <c r="AX37" s="86"/>
      <c r="AY37" s="86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8"/>
      <c r="BO37" s="85"/>
      <c r="BP37" s="86"/>
      <c r="BQ37" s="86"/>
      <c r="BR37" s="86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8"/>
      <c r="CH37" s="85"/>
      <c r="CI37" s="86"/>
      <c r="CJ37" s="86"/>
      <c r="CK37" s="86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8"/>
      <c r="DA37" s="85"/>
      <c r="DB37" s="86"/>
      <c r="DC37" s="86"/>
      <c r="DD37" s="86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7"/>
      <c r="DP37" s="87"/>
      <c r="DQ37" s="87"/>
      <c r="DR37" s="87"/>
      <c r="DS37" s="88"/>
      <c r="DT37" s="85"/>
      <c r="DU37" s="86"/>
      <c r="DV37" s="86"/>
      <c r="DW37" s="86"/>
      <c r="DX37" s="87"/>
      <c r="DY37" s="87"/>
      <c r="DZ37" s="87"/>
      <c r="EA37" s="87"/>
      <c r="EB37" s="87"/>
      <c r="EC37" s="87"/>
      <c r="ED37" s="87"/>
      <c r="EE37" s="87"/>
      <c r="EF37" s="87"/>
      <c r="EG37" s="87"/>
      <c r="EH37" s="87"/>
      <c r="EI37" s="87"/>
      <c r="EJ37" s="87"/>
      <c r="EK37" s="87"/>
      <c r="EL37" s="88"/>
      <c r="EM37" s="85"/>
      <c r="EN37" s="86"/>
      <c r="EO37" s="86"/>
      <c r="EP37" s="86"/>
      <c r="EQ37" s="87"/>
      <c r="ER37" s="87"/>
      <c r="ES37" s="87"/>
      <c r="ET37" s="87"/>
      <c r="EU37" s="87"/>
      <c r="EV37" s="87"/>
      <c r="EW37" s="87"/>
      <c r="EX37" s="87"/>
      <c r="EY37" s="87"/>
      <c r="EZ37" s="87"/>
      <c r="FA37" s="87"/>
      <c r="FB37" s="87"/>
      <c r="FC37" s="87"/>
      <c r="FD37" s="87"/>
      <c r="FE37" s="89"/>
    </row>
    <row r="38" spans="2:161" s="6" customFormat="1" ht="13.2" hidden="1">
      <c r="B38" s="92" t="s">
        <v>69</v>
      </c>
      <c r="C38" s="102" t="s">
        <v>70</v>
      </c>
      <c r="D38" s="81">
        <f t="shared" si="9"/>
        <v>0</v>
      </c>
      <c r="E38" s="82">
        <f t="shared" si="10"/>
        <v>0</v>
      </c>
      <c r="F38" s="83">
        <f t="shared" si="10"/>
        <v>0</v>
      </c>
      <c r="G38" s="83">
        <f t="shared" si="10"/>
        <v>0</v>
      </c>
      <c r="H38" s="83">
        <f t="shared" si="10"/>
        <v>0</v>
      </c>
      <c r="I38" s="84">
        <f t="shared" si="10"/>
        <v>0</v>
      </c>
      <c r="J38" s="84">
        <f t="shared" si="10"/>
        <v>0</v>
      </c>
      <c r="K38" s="84">
        <f t="shared" si="10"/>
        <v>0</v>
      </c>
      <c r="L38" s="84">
        <f t="shared" si="10"/>
        <v>0</v>
      </c>
      <c r="M38" s="84">
        <f t="shared" si="10"/>
        <v>0</v>
      </c>
      <c r="N38" s="84">
        <f t="shared" si="10"/>
        <v>0</v>
      </c>
      <c r="O38" s="84">
        <f t="shared" si="11"/>
        <v>0</v>
      </c>
      <c r="P38" s="84">
        <f t="shared" si="11"/>
        <v>0</v>
      </c>
      <c r="Q38" s="84">
        <f t="shared" si="11"/>
        <v>0</v>
      </c>
      <c r="R38" s="84">
        <f t="shared" si="11"/>
        <v>0</v>
      </c>
      <c r="S38" s="84">
        <f t="shared" si="11"/>
        <v>0</v>
      </c>
      <c r="T38" s="84">
        <f t="shared" si="11"/>
        <v>0</v>
      </c>
      <c r="U38" s="84">
        <f t="shared" si="11"/>
        <v>0</v>
      </c>
      <c r="V38" s="84">
        <f t="shared" si="11"/>
        <v>0</v>
      </c>
      <c r="W38" s="84">
        <f>SIS064_F_Biodujuisigiji1Elektrosenergi5</f>
        <v>0</v>
      </c>
      <c r="X38" s="84">
        <f>SUM(SIS062_F_Biodujuisigiji1Geriamojovande1,SIS063_F_Biodujuisigiji1Geriamojovande1,SIS065_F_Biodujuisigiji1Geriamojovande1)</f>
        <v>0</v>
      </c>
      <c r="Y38" s="84">
        <f>SUM(SIS062_F_Biodujuisigiji1Paslaugaproduk8,SIS063_F_Biodujuisigiji1Paslaugaproduk8,SIS065_F_Biodujuisigiji1Paslaugaproduk8)</f>
        <v>0</v>
      </c>
      <c r="Z38" s="84">
        <f>SIS064_F_Biodujuisigiji1Elektrosenergi6</f>
        <v>0</v>
      </c>
      <c r="AA38" s="84">
        <f>SUM(SIS062_F_Biodujuisigiji1Konkurencinesi1,SIS063_F_Biodujuisigiji1Konkurencinesi1,SIS065_F_Biodujuisigiji1Konkurencinesi1,)</f>
        <v>0</v>
      </c>
      <c r="AB38" s="84">
        <f>SUM(SIS062_F_Biodujuisigiji1Paslaugaproduk9,SIS063_F_Biodujuisigiji1Paslaugaproduk9,SIS065_F_Biodujuisigiji1Paslaugaproduk9)</f>
        <v>0</v>
      </c>
      <c r="AC38" s="85"/>
      <c r="AD38" s="86"/>
      <c r="AE38" s="86"/>
      <c r="AF38" s="86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8"/>
      <c r="AV38" s="85"/>
      <c r="AW38" s="86"/>
      <c r="AX38" s="86"/>
      <c r="AY38" s="86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8"/>
      <c r="BO38" s="85"/>
      <c r="BP38" s="86"/>
      <c r="BQ38" s="86"/>
      <c r="BR38" s="86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8"/>
      <c r="CH38" s="85"/>
      <c r="CI38" s="86"/>
      <c r="CJ38" s="86"/>
      <c r="CK38" s="86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8"/>
      <c r="DA38" s="85"/>
      <c r="DB38" s="86"/>
      <c r="DC38" s="86"/>
      <c r="DD38" s="86"/>
      <c r="DE38" s="87"/>
      <c r="DF38" s="87"/>
      <c r="DG38" s="87"/>
      <c r="DH38" s="87"/>
      <c r="DI38" s="87"/>
      <c r="DJ38" s="87"/>
      <c r="DK38" s="87"/>
      <c r="DL38" s="87"/>
      <c r="DM38" s="87"/>
      <c r="DN38" s="87"/>
      <c r="DO38" s="87"/>
      <c r="DP38" s="87"/>
      <c r="DQ38" s="87"/>
      <c r="DR38" s="87"/>
      <c r="DS38" s="88"/>
      <c r="DT38" s="85"/>
      <c r="DU38" s="86"/>
      <c r="DV38" s="86"/>
      <c r="DW38" s="86"/>
      <c r="DX38" s="87"/>
      <c r="DY38" s="87"/>
      <c r="DZ38" s="87"/>
      <c r="EA38" s="87"/>
      <c r="EB38" s="87"/>
      <c r="EC38" s="87"/>
      <c r="ED38" s="87"/>
      <c r="EE38" s="87"/>
      <c r="EF38" s="87"/>
      <c r="EG38" s="87"/>
      <c r="EH38" s="87"/>
      <c r="EI38" s="87"/>
      <c r="EJ38" s="87"/>
      <c r="EK38" s="87"/>
      <c r="EL38" s="88"/>
      <c r="EM38" s="85"/>
      <c r="EN38" s="86"/>
      <c r="EO38" s="86"/>
      <c r="EP38" s="86"/>
      <c r="EQ38" s="87"/>
      <c r="ER38" s="87"/>
      <c r="ES38" s="87"/>
      <c r="ET38" s="87"/>
      <c r="EU38" s="87"/>
      <c r="EV38" s="87"/>
      <c r="EW38" s="87"/>
      <c r="EX38" s="87"/>
      <c r="EY38" s="87"/>
      <c r="EZ38" s="87"/>
      <c r="FA38" s="87"/>
      <c r="FB38" s="87"/>
      <c r="FC38" s="87"/>
      <c r="FD38" s="87"/>
      <c r="FE38" s="89"/>
    </row>
    <row r="39" spans="2:161" s="6" customFormat="1" ht="13.2" hidden="1">
      <c r="B39" s="92" t="s">
        <v>71</v>
      </c>
      <c r="C39" s="102" t="s">
        <v>72</v>
      </c>
      <c r="D39" s="81">
        <f t="shared" si="9"/>
        <v>0</v>
      </c>
      <c r="E39" s="82">
        <f t="shared" si="10"/>
        <v>0</v>
      </c>
      <c r="F39" s="83">
        <f t="shared" si="10"/>
        <v>0</v>
      </c>
      <c r="G39" s="83">
        <f t="shared" si="10"/>
        <v>0</v>
      </c>
      <c r="H39" s="83">
        <f t="shared" si="10"/>
        <v>0</v>
      </c>
      <c r="I39" s="84">
        <f t="shared" si="10"/>
        <v>0</v>
      </c>
      <c r="J39" s="84">
        <f t="shared" si="10"/>
        <v>0</v>
      </c>
      <c r="K39" s="84">
        <f t="shared" si="10"/>
        <v>0</v>
      </c>
      <c r="L39" s="84">
        <f t="shared" si="10"/>
        <v>0</v>
      </c>
      <c r="M39" s="84">
        <f t="shared" si="10"/>
        <v>0</v>
      </c>
      <c r="N39" s="84">
        <f t="shared" si="10"/>
        <v>0</v>
      </c>
      <c r="O39" s="84">
        <f t="shared" si="11"/>
        <v>0</v>
      </c>
      <c r="P39" s="84">
        <f t="shared" si="11"/>
        <v>0</v>
      </c>
      <c r="Q39" s="84">
        <f t="shared" si="11"/>
        <v>0</v>
      </c>
      <c r="R39" s="84">
        <f t="shared" si="11"/>
        <v>0</v>
      </c>
      <c r="S39" s="84">
        <f t="shared" si="11"/>
        <v>0</v>
      </c>
      <c r="T39" s="84">
        <f t="shared" si="11"/>
        <v>0</v>
      </c>
      <c r="U39" s="84">
        <f t="shared" si="11"/>
        <v>0</v>
      </c>
      <c r="V39" s="84">
        <f t="shared" si="11"/>
        <v>0</v>
      </c>
      <c r="W39" s="84">
        <f>SIS064_F_Siaudiuisigiji1Elektrosenergi5</f>
        <v>0</v>
      </c>
      <c r="X39" s="84">
        <f>SUM(SIS062_F_Siaudiuisigiji1Geriamojovande1,SIS063_F_Siaudiuisigiji1Geriamojovande1,SIS065_F_Siaudiuisigiji1Geriamojovande1)</f>
        <v>0</v>
      </c>
      <c r="Y39" s="84">
        <f>SUM(SIS062_F_Siaudiuisigiji1Paslaugaproduk8,SIS063_F_Siaudiuisigiji1Paslaugaproduk8,SIS065_F_Siaudiuisigiji1Paslaugaproduk8)</f>
        <v>0</v>
      </c>
      <c r="Z39" s="84">
        <f>SIS064_F_Siaudiuisigiji1Elektrosenergi6</f>
        <v>0</v>
      </c>
      <c r="AA39" s="84">
        <f>SUM(SIS062_F_Siaudiuisigiji1Konkurencinesi1,SIS063_F_Siaudiuisigiji1Konkurencinesi1,SIS065_F_Siaudiuisigiji1Konkurencinesi1,)</f>
        <v>0</v>
      </c>
      <c r="AB39" s="84">
        <f>SUM(SIS062_F_Siaudiuisigiji1Paslaugaproduk9,SIS063_F_Siaudiuisigiji1Paslaugaproduk9,SIS065_F_Siaudiuisigiji1Paslaugaproduk9)</f>
        <v>0</v>
      </c>
      <c r="AC39" s="85"/>
      <c r="AD39" s="86"/>
      <c r="AE39" s="86"/>
      <c r="AF39" s="86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8"/>
      <c r="AV39" s="85"/>
      <c r="AW39" s="86"/>
      <c r="AX39" s="86"/>
      <c r="AY39" s="86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8"/>
      <c r="BO39" s="85"/>
      <c r="BP39" s="86"/>
      <c r="BQ39" s="86"/>
      <c r="BR39" s="86"/>
      <c r="BS39" s="87"/>
      <c r="BT39" s="87"/>
      <c r="BU39" s="87"/>
      <c r="BV39" s="87"/>
      <c r="BW39" s="87"/>
      <c r="BX39" s="87"/>
      <c r="BY39" s="87"/>
      <c r="BZ39" s="87"/>
      <c r="CA39" s="87"/>
      <c r="CB39" s="87"/>
      <c r="CC39" s="87"/>
      <c r="CD39" s="87"/>
      <c r="CE39" s="87"/>
      <c r="CF39" s="87"/>
      <c r="CG39" s="88"/>
      <c r="CH39" s="85"/>
      <c r="CI39" s="86"/>
      <c r="CJ39" s="86"/>
      <c r="CK39" s="86"/>
      <c r="CL39" s="87"/>
      <c r="CM39" s="87"/>
      <c r="CN39" s="87"/>
      <c r="CO39" s="87"/>
      <c r="CP39" s="87"/>
      <c r="CQ39" s="87"/>
      <c r="CR39" s="87"/>
      <c r="CS39" s="87"/>
      <c r="CT39" s="87"/>
      <c r="CU39" s="87"/>
      <c r="CV39" s="87"/>
      <c r="CW39" s="87"/>
      <c r="CX39" s="87"/>
      <c r="CY39" s="87"/>
      <c r="CZ39" s="88"/>
      <c r="DA39" s="85"/>
      <c r="DB39" s="86"/>
      <c r="DC39" s="86"/>
      <c r="DD39" s="86"/>
      <c r="DE39" s="87"/>
      <c r="DF39" s="87"/>
      <c r="DG39" s="87"/>
      <c r="DH39" s="87"/>
      <c r="DI39" s="87"/>
      <c r="DJ39" s="87"/>
      <c r="DK39" s="87"/>
      <c r="DL39" s="87"/>
      <c r="DM39" s="87"/>
      <c r="DN39" s="87"/>
      <c r="DO39" s="87"/>
      <c r="DP39" s="87"/>
      <c r="DQ39" s="87"/>
      <c r="DR39" s="87"/>
      <c r="DS39" s="88"/>
      <c r="DT39" s="85"/>
      <c r="DU39" s="86"/>
      <c r="DV39" s="86"/>
      <c r="DW39" s="86"/>
      <c r="DX39" s="87"/>
      <c r="DY39" s="87"/>
      <c r="DZ39" s="87"/>
      <c r="EA39" s="87"/>
      <c r="EB39" s="87"/>
      <c r="EC39" s="87"/>
      <c r="ED39" s="87"/>
      <c r="EE39" s="87"/>
      <c r="EF39" s="87"/>
      <c r="EG39" s="87"/>
      <c r="EH39" s="87"/>
      <c r="EI39" s="87"/>
      <c r="EJ39" s="87"/>
      <c r="EK39" s="87"/>
      <c r="EL39" s="88"/>
      <c r="EM39" s="85"/>
      <c r="EN39" s="86"/>
      <c r="EO39" s="86"/>
      <c r="EP39" s="86"/>
      <c r="EQ39" s="87"/>
      <c r="ER39" s="87"/>
      <c r="ES39" s="87"/>
      <c r="ET39" s="87"/>
      <c r="EU39" s="87"/>
      <c r="EV39" s="87"/>
      <c r="EW39" s="87"/>
      <c r="EX39" s="87"/>
      <c r="EY39" s="87"/>
      <c r="EZ39" s="87"/>
      <c r="FA39" s="87"/>
      <c r="FB39" s="87"/>
      <c r="FC39" s="87"/>
      <c r="FD39" s="87"/>
      <c r="FE39" s="89"/>
    </row>
    <row r="40" spans="2:161" s="6" customFormat="1" ht="13.2" hidden="1">
      <c r="B40" s="92" t="s">
        <v>73</v>
      </c>
      <c r="C40" s="102" t="s">
        <v>74</v>
      </c>
      <c r="D40" s="81">
        <f t="shared" si="9"/>
        <v>0</v>
      </c>
      <c r="E40" s="82">
        <f t="shared" si="10"/>
        <v>0</v>
      </c>
      <c r="F40" s="83">
        <f t="shared" si="10"/>
        <v>0</v>
      </c>
      <c r="G40" s="83">
        <f t="shared" si="10"/>
        <v>0</v>
      </c>
      <c r="H40" s="83">
        <f t="shared" si="10"/>
        <v>0</v>
      </c>
      <c r="I40" s="84">
        <f t="shared" si="10"/>
        <v>0</v>
      </c>
      <c r="J40" s="84">
        <f t="shared" si="10"/>
        <v>0</v>
      </c>
      <c r="K40" s="84">
        <f t="shared" si="10"/>
        <v>0</v>
      </c>
      <c r="L40" s="84">
        <f t="shared" si="10"/>
        <v>0</v>
      </c>
      <c r="M40" s="84">
        <f t="shared" si="10"/>
        <v>0</v>
      </c>
      <c r="N40" s="84">
        <f t="shared" si="10"/>
        <v>0</v>
      </c>
      <c r="O40" s="84">
        <f t="shared" si="11"/>
        <v>0</v>
      </c>
      <c r="P40" s="84">
        <f t="shared" si="11"/>
        <v>0</v>
      </c>
      <c r="Q40" s="84">
        <f t="shared" si="11"/>
        <v>0</v>
      </c>
      <c r="R40" s="84">
        <f t="shared" si="11"/>
        <v>0</v>
      </c>
      <c r="S40" s="84">
        <f t="shared" si="11"/>
        <v>0</v>
      </c>
      <c r="T40" s="84">
        <f t="shared" si="11"/>
        <v>0</v>
      </c>
      <c r="U40" s="84">
        <f t="shared" si="11"/>
        <v>0</v>
      </c>
      <c r="V40" s="84">
        <f t="shared" si="11"/>
        <v>0</v>
      </c>
      <c r="W40" s="84">
        <f>SIS064_F_Durpiuisigijim1Elektrosenergi5</f>
        <v>0</v>
      </c>
      <c r="X40" s="84">
        <f>SUM(SIS062_F_Durpiuisigijim1Geriamojovande1,SIS063_F_Durpiuisigijim1Geriamojovande1,SIS065_F_Durpiuisigijim1Geriamojovande1)</f>
        <v>0</v>
      </c>
      <c r="Y40" s="84">
        <f>SUM(SIS062_F_Durpiuisigijim1Paslaugaproduk8,SIS063_F_Durpiuisigijim1Paslaugaproduk8,SIS065_F_Durpiuisigijim1Paslaugaproduk8)</f>
        <v>0</v>
      </c>
      <c r="Z40" s="84">
        <f>SIS064_F_Durpiuisigijim1Elektrosenergi6</f>
        <v>0</v>
      </c>
      <c r="AA40" s="84">
        <f>SUM(SIS062_F_Durpiuisigijim1Konkurencinesi1,SIS063_F_Durpiuisigijim1Konkurencinesi1,SIS065_F_Durpiuisigijim1Konkurencinesi1,)</f>
        <v>0</v>
      </c>
      <c r="AB40" s="84">
        <f>SUM(SIS062_F_Durpiuisigijim1Paslaugaproduk9,SIS063_F_Durpiuisigijim1Paslaugaproduk9,SIS065_F_Durpiuisigijim1Paslaugaproduk9)</f>
        <v>0</v>
      </c>
      <c r="AC40" s="85"/>
      <c r="AD40" s="86"/>
      <c r="AE40" s="86"/>
      <c r="AF40" s="86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8"/>
      <c r="AV40" s="85"/>
      <c r="AW40" s="86"/>
      <c r="AX40" s="86"/>
      <c r="AY40" s="86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8"/>
      <c r="BO40" s="85"/>
      <c r="BP40" s="86"/>
      <c r="BQ40" s="86"/>
      <c r="BR40" s="86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8"/>
      <c r="CH40" s="85"/>
      <c r="CI40" s="86"/>
      <c r="CJ40" s="86"/>
      <c r="CK40" s="86"/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8"/>
      <c r="DA40" s="85"/>
      <c r="DB40" s="86"/>
      <c r="DC40" s="86"/>
      <c r="DD40" s="86"/>
      <c r="DE40" s="87"/>
      <c r="DF40" s="87"/>
      <c r="DG40" s="87"/>
      <c r="DH40" s="87"/>
      <c r="DI40" s="87"/>
      <c r="DJ40" s="87"/>
      <c r="DK40" s="87"/>
      <c r="DL40" s="87"/>
      <c r="DM40" s="87"/>
      <c r="DN40" s="87"/>
      <c r="DO40" s="87"/>
      <c r="DP40" s="87"/>
      <c r="DQ40" s="87"/>
      <c r="DR40" s="87"/>
      <c r="DS40" s="88"/>
      <c r="DT40" s="85"/>
      <c r="DU40" s="86"/>
      <c r="DV40" s="86"/>
      <c r="DW40" s="86"/>
      <c r="DX40" s="87"/>
      <c r="DY40" s="87"/>
      <c r="DZ40" s="87"/>
      <c r="EA40" s="87"/>
      <c r="EB40" s="87"/>
      <c r="EC40" s="87"/>
      <c r="ED40" s="87"/>
      <c r="EE40" s="87"/>
      <c r="EF40" s="87"/>
      <c r="EG40" s="87"/>
      <c r="EH40" s="87"/>
      <c r="EI40" s="87"/>
      <c r="EJ40" s="87"/>
      <c r="EK40" s="87"/>
      <c r="EL40" s="88"/>
      <c r="EM40" s="85"/>
      <c r="EN40" s="86"/>
      <c r="EO40" s="86"/>
      <c r="EP40" s="86"/>
      <c r="EQ40" s="87"/>
      <c r="ER40" s="87"/>
      <c r="ES40" s="87"/>
      <c r="ET40" s="87"/>
      <c r="EU40" s="87"/>
      <c r="EV40" s="87"/>
      <c r="EW40" s="87"/>
      <c r="EX40" s="87"/>
      <c r="EY40" s="87"/>
      <c r="EZ40" s="87"/>
      <c r="FA40" s="87"/>
      <c r="FB40" s="87"/>
      <c r="FC40" s="87"/>
      <c r="FD40" s="87"/>
      <c r="FE40" s="89"/>
    </row>
    <row r="41" spans="2:161" s="6" customFormat="1" ht="13.2" hidden="1">
      <c r="B41" s="92" t="s">
        <v>75</v>
      </c>
      <c r="C41" s="103" t="str">
        <f>SIS055_D_Kitoskurorusie1</f>
        <v>Kitos kuro rūšies (nurodyti) įsigijimo sąnaudos</v>
      </c>
      <c r="D41" s="81">
        <f t="shared" si="9"/>
        <v>0</v>
      </c>
      <c r="E41" s="82">
        <f t="shared" si="10"/>
        <v>0</v>
      </c>
      <c r="F41" s="83">
        <f t="shared" si="10"/>
        <v>0</v>
      </c>
      <c r="G41" s="83">
        <f t="shared" si="10"/>
        <v>0</v>
      </c>
      <c r="H41" s="83">
        <f t="shared" si="10"/>
        <v>0</v>
      </c>
      <c r="I41" s="84">
        <f t="shared" si="10"/>
        <v>0</v>
      </c>
      <c r="J41" s="84">
        <f t="shared" si="10"/>
        <v>0</v>
      </c>
      <c r="K41" s="84">
        <f t="shared" si="10"/>
        <v>0</v>
      </c>
      <c r="L41" s="84">
        <f t="shared" si="10"/>
        <v>0</v>
      </c>
      <c r="M41" s="84">
        <f t="shared" si="10"/>
        <v>0</v>
      </c>
      <c r="N41" s="84">
        <f t="shared" si="10"/>
        <v>0</v>
      </c>
      <c r="O41" s="84">
        <f t="shared" si="11"/>
        <v>0</v>
      </c>
      <c r="P41" s="84">
        <f t="shared" si="11"/>
        <v>0</v>
      </c>
      <c r="Q41" s="84">
        <f t="shared" si="11"/>
        <v>0</v>
      </c>
      <c r="R41" s="84">
        <f t="shared" si="11"/>
        <v>0</v>
      </c>
      <c r="S41" s="84">
        <f t="shared" si="11"/>
        <v>0</v>
      </c>
      <c r="T41" s="84">
        <f t="shared" si="11"/>
        <v>0</v>
      </c>
      <c r="U41" s="84">
        <f t="shared" si="11"/>
        <v>0</v>
      </c>
      <c r="V41" s="84">
        <f t="shared" si="11"/>
        <v>0</v>
      </c>
      <c r="W41" s="84">
        <f>SIS064_F_Kitoskurorusie1Elektrosenergi5</f>
        <v>0</v>
      </c>
      <c r="X41" s="84">
        <f>SUM(SIS062_F_Kitoskurorusie1Geriamojovande1,SIS063_F_Kitoskurorusie1Geriamojovande1,SIS065_F_Kitoskurorusie1Geriamojovande1)</f>
        <v>0</v>
      </c>
      <c r="Y41" s="84">
        <f>SUM(SIS062_F_Kitoskurorusie1Paslaugaproduk8,SIS063_F_Kitoskurorusie1Paslaugaproduk8,SIS065_F_Kitoskurorusie1Paslaugaproduk8)</f>
        <v>0</v>
      </c>
      <c r="Z41" s="84">
        <f>SIS064_F_Kitoskurorusie1Elektrosenergi6</f>
        <v>0</v>
      </c>
      <c r="AA41" s="84">
        <f>SUM(SIS062_F_Kitoskurorusie1Konkurencinesi1,SIS063_F_Kitoskurorusie1Konkurencinesi1,SIS065_F_Kitoskurorusie1Konkurencinesi1,)</f>
        <v>0</v>
      </c>
      <c r="AB41" s="84">
        <f>SUM(SIS062_F_Kitoskurorusie1Paslaugaproduk9,SIS063_F_Kitoskurorusie1Paslaugaproduk9,SIS065_F_Kitoskurorusie1Paslaugaproduk9)</f>
        <v>0</v>
      </c>
      <c r="AC41" s="85"/>
      <c r="AD41" s="86"/>
      <c r="AE41" s="86"/>
      <c r="AF41" s="86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8"/>
      <c r="AV41" s="85"/>
      <c r="AW41" s="86"/>
      <c r="AX41" s="86"/>
      <c r="AY41" s="86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8"/>
      <c r="BO41" s="85"/>
      <c r="BP41" s="86"/>
      <c r="BQ41" s="86"/>
      <c r="BR41" s="86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8"/>
      <c r="CH41" s="85"/>
      <c r="CI41" s="86"/>
      <c r="CJ41" s="86"/>
      <c r="CK41" s="86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8"/>
      <c r="DA41" s="85"/>
      <c r="DB41" s="86"/>
      <c r="DC41" s="86"/>
      <c r="DD41" s="86"/>
      <c r="DE41" s="87"/>
      <c r="DF41" s="87"/>
      <c r="DG41" s="87"/>
      <c r="DH41" s="87"/>
      <c r="DI41" s="87"/>
      <c r="DJ41" s="87"/>
      <c r="DK41" s="87"/>
      <c r="DL41" s="87"/>
      <c r="DM41" s="87"/>
      <c r="DN41" s="87"/>
      <c r="DO41" s="87"/>
      <c r="DP41" s="87"/>
      <c r="DQ41" s="87"/>
      <c r="DR41" s="87"/>
      <c r="DS41" s="88"/>
      <c r="DT41" s="85"/>
      <c r="DU41" s="86"/>
      <c r="DV41" s="86"/>
      <c r="DW41" s="86"/>
      <c r="DX41" s="87"/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7"/>
      <c r="EJ41" s="87"/>
      <c r="EK41" s="87"/>
      <c r="EL41" s="88"/>
      <c r="EM41" s="85"/>
      <c r="EN41" s="86"/>
      <c r="EO41" s="86"/>
      <c r="EP41" s="86"/>
      <c r="EQ41" s="87"/>
      <c r="ER41" s="87"/>
      <c r="ES41" s="87"/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9"/>
    </row>
    <row r="42" spans="2:161" s="6" customFormat="1" ht="13.2" hidden="1">
      <c r="B42" s="92" t="s">
        <v>76</v>
      </c>
      <c r="C42" s="103" t="str">
        <f>SIS055_D_Kitoskurorusie2</f>
        <v>Kitos kuro rūšies (nurodyti) įsigijimo sąnaudos</v>
      </c>
      <c r="D42" s="81">
        <f t="shared" si="9"/>
        <v>0</v>
      </c>
      <c r="E42" s="82">
        <f t="shared" ref="E42:T45" si="12">SUM(AC42,AV42,BO42,CH42,DA42,DT42,EM42)</f>
        <v>0</v>
      </c>
      <c r="F42" s="83">
        <f t="shared" si="12"/>
        <v>0</v>
      </c>
      <c r="G42" s="83">
        <f t="shared" si="12"/>
        <v>0</v>
      </c>
      <c r="H42" s="83">
        <f t="shared" si="12"/>
        <v>0</v>
      </c>
      <c r="I42" s="84">
        <f t="shared" si="12"/>
        <v>0</v>
      </c>
      <c r="J42" s="84">
        <f t="shared" si="12"/>
        <v>0</v>
      </c>
      <c r="K42" s="84">
        <f t="shared" si="12"/>
        <v>0</v>
      </c>
      <c r="L42" s="84">
        <f t="shared" si="12"/>
        <v>0</v>
      </c>
      <c r="M42" s="84">
        <f t="shared" si="12"/>
        <v>0</v>
      </c>
      <c r="N42" s="84">
        <f t="shared" si="12"/>
        <v>0</v>
      </c>
      <c r="O42" s="84">
        <f t="shared" si="12"/>
        <v>0</v>
      </c>
      <c r="P42" s="84">
        <f t="shared" si="12"/>
        <v>0</v>
      </c>
      <c r="Q42" s="84">
        <f t="shared" si="12"/>
        <v>0</v>
      </c>
      <c r="R42" s="84">
        <f t="shared" si="12"/>
        <v>0</v>
      </c>
      <c r="S42" s="84">
        <f t="shared" si="12"/>
        <v>0</v>
      </c>
      <c r="T42" s="84">
        <f t="shared" si="12"/>
        <v>0</v>
      </c>
      <c r="U42" s="84">
        <f t="shared" ref="O42:V45" si="13">SUM(AS42,BL42,CE42,CX42,DQ42,EJ42,FC42)</f>
        <v>0</v>
      </c>
      <c r="V42" s="84">
        <f t="shared" si="13"/>
        <v>0</v>
      </c>
      <c r="W42" s="84">
        <f>SIS064_F_Kitoskurorusie2Elektrosenergi5</f>
        <v>0</v>
      </c>
      <c r="X42" s="84">
        <f>SUM(SIS062_F_Kitoskurorusie2Geriamojovande1,SIS063_F_Kitoskurorusie2Geriamojovande1,SIS065_F_Kitoskurorusie2Geriamojovande1)</f>
        <v>0</v>
      </c>
      <c r="Y42" s="84">
        <f>SUM(SIS062_F_Kitoskurorusie2Paslaugaproduk8,SIS063_F_Kitoskurorusie2Paslaugaproduk8,SIS065_F_Kitoskurorusie2Paslaugaproduk8)</f>
        <v>0</v>
      </c>
      <c r="Z42" s="84">
        <f>SIS064_F_Kitoskurorusie2Elektrosenergi6</f>
        <v>0</v>
      </c>
      <c r="AA42" s="84">
        <f>SUM(SIS062_F_Kitoskurorusie2Konkurencinesi1,SIS063_F_Kitoskurorusie2Konkurencinesi1,SIS065_F_Kitoskurorusie2Konkurencinesi1,)</f>
        <v>0</v>
      </c>
      <c r="AB42" s="84">
        <f>SUM(SIS062_F_Kitoskurorusie2Paslaugaproduk9,SIS063_F_Kitoskurorusie2Paslaugaproduk9,SIS065_F_Kitoskurorusie2Paslaugaproduk9)</f>
        <v>0</v>
      </c>
      <c r="AC42" s="85"/>
      <c r="AD42" s="86"/>
      <c r="AE42" s="86"/>
      <c r="AF42" s="86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8"/>
      <c r="AV42" s="85"/>
      <c r="AW42" s="86"/>
      <c r="AX42" s="86"/>
      <c r="AY42" s="86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8"/>
      <c r="BO42" s="85"/>
      <c r="BP42" s="86"/>
      <c r="BQ42" s="86"/>
      <c r="BR42" s="86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8"/>
      <c r="CH42" s="85"/>
      <c r="CI42" s="86"/>
      <c r="CJ42" s="86"/>
      <c r="CK42" s="86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8"/>
      <c r="DA42" s="85"/>
      <c r="DB42" s="86"/>
      <c r="DC42" s="86"/>
      <c r="DD42" s="86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8"/>
      <c r="DT42" s="85"/>
      <c r="DU42" s="86"/>
      <c r="DV42" s="86"/>
      <c r="DW42" s="86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8"/>
      <c r="EM42" s="85"/>
      <c r="EN42" s="86"/>
      <c r="EO42" s="86"/>
      <c r="EP42" s="86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9"/>
    </row>
    <row r="43" spans="2:161" s="6" customFormat="1" ht="13.2" hidden="1">
      <c r="B43" s="92" t="s">
        <v>77</v>
      </c>
      <c r="C43" s="103" t="str">
        <f>SIS055_D_Kitoskurorusie3</f>
        <v>Kitos kuro rūšies (nurodyti) įsigijimo sąnaudos</v>
      </c>
      <c r="D43" s="81">
        <f t="shared" si="9"/>
        <v>0</v>
      </c>
      <c r="E43" s="82">
        <f t="shared" si="12"/>
        <v>0</v>
      </c>
      <c r="F43" s="83">
        <f t="shared" si="12"/>
        <v>0</v>
      </c>
      <c r="G43" s="83">
        <f t="shared" si="12"/>
        <v>0</v>
      </c>
      <c r="H43" s="83">
        <f t="shared" si="12"/>
        <v>0</v>
      </c>
      <c r="I43" s="84">
        <f t="shared" si="12"/>
        <v>0</v>
      </c>
      <c r="J43" s="84">
        <f t="shared" si="12"/>
        <v>0</v>
      </c>
      <c r="K43" s="84">
        <f t="shared" si="12"/>
        <v>0</v>
      </c>
      <c r="L43" s="84">
        <f t="shared" si="12"/>
        <v>0</v>
      </c>
      <c r="M43" s="84">
        <f t="shared" si="12"/>
        <v>0</v>
      </c>
      <c r="N43" s="84">
        <f t="shared" si="12"/>
        <v>0</v>
      </c>
      <c r="O43" s="84">
        <f t="shared" si="13"/>
        <v>0</v>
      </c>
      <c r="P43" s="84">
        <f t="shared" si="13"/>
        <v>0</v>
      </c>
      <c r="Q43" s="84">
        <f t="shared" si="13"/>
        <v>0</v>
      </c>
      <c r="R43" s="84">
        <f t="shared" si="13"/>
        <v>0</v>
      </c>
      <c r="S43" s="84">
        <f t="shared" si="13"/>
        <v>0</v>
      </c>
      <c r="T43" s="84">
        <f t="shared" si="13"/>
        <v>0</v>
      </c>
      <c r="U43" s="84">
        <f t="shared" si="13"/>
        <v>0</v>
      </c>
      <c r="V43" s="84">
        <f t="shared" si="13"/>
        <v>0</v>
      </c>
      <c r="W43" s="84">
        <f>SIS064_F_Kitoskurorusie3Elektrosenergi5</f>
        <v>0</v>
      </c>
      <c r="X43" s="84">
        <f>SUM(SIS062_F_Kitoskurorusie3Geriamojovande1,SIS063_F_Kitoskurorusie3Geriamojovande1,SIS065_F_Kitoskurorusie3Geriamojovande1)</f>
        <v>0</v>
      </c>
      <c r="Y43" s="84">
        <f>SUM(SIS062_F_Kitoskurorusie3Paslaugaproduk8,SIS063_F_Kitoskurorusie3Paslaugaproduk8,SIS065_F_Kitoskurorusie3Paslaugaproduk8)</f>
        <v>0</v>
      </c>
      <c r="Z43" s="84">
        <f>SIS064_F_Kitoskurorusie3Elektrosenergi6</f>
        <v>0</v>
      </c>
      <c r="AA43" s="84">
        <f>SUM(SIS062_F_Kitoskurorusie3Konkurencinesi1,SIS063_F_Kitoskurorusie3Konkurencinesi1,SIS065_F_Kitoskurorusie3Konkurencinesi1,)</f>
        <v>0</v>
      </c>
      <c r="AB43" s="84">
        <f>SUM(SIS062_F_Kitoskurorusie3Paslaugaproduk9,SIS063_F_Kitoskurorusie3Paslaugaproduk9,SIS065_F_Kitoskurorusie3Paslaugaproduk9)</f>
        <v>0</v>
      </c>
      <c r="AC43" s="85"/>
      <c r="AD43" s="86"/>
      <c r="AE43" s="86"/>
      <c r="AF43" s="86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8"/>
      <c r="AV43" s="85"/>
      <c r="AW43" s="86"/>
      <c r="AX43" s="86"/>
      <c r="AY43" s="86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8"/>
      <c r="BO43" s="85"/>
      <c r="BP43" s="86"/>
      <c r="BQ43" s="86"/>
      <c r="BR43" s="86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8"/>
      <c r="CH43" s="85"/>
      <c r="CI43" s="86"/>
      <c r="CJ43" s="86"/>
      <c r="CK43" s="86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88"/>
      <c r="DA43" s="85"/>
      <c r="DB43" s="86"/>
      <c r="DC43" s="86"/>
      <c r="DD43" s="86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8"/>
      <c r="DT43" s="85"/>
      <c r="DU43" s="86"/>
      <c r="DV43" s="86"/>
      <c r="DW43" s="86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8"/>
      <c r="EM43" s="85"/>
      <c r="EN43" s="86"/>
      <c r="EO43" s="86"/>
      <c r="EP43" s="86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9"/>
    </row>
    <row r="44" spans="2:161" s="6" customFormat="1" ht="13.2" hidden="1">
      <c r="B44" s="92" t="s">
        <v>78</v>
      </c>
      <c r="C44" s="80" t="str">
        <f>SIS055_D_Kitossanaudoss2</f>
        <v>Kitos sąnaudos, susijusios su kuro įsigijimu (nurodyti)</v>
      </c>
      <c r="D44" s="81">
        <f t="shared" si="9"/>
        <v>0</v>
      </c>
      <c r="E44" s="82">
        <f t="shared" si="12"/>
        <v>0</v>
      </c>
      <c r="F44" s="83">
        <f t="shared" si="12"/>
        <v>0</v>
      </c>
      <c r="G44" s="83">
        <f t="shared" si="12"/>
        <v>0</v>
      </c>
      <c r="H44" s="83">
        <f t="shared" si="12"/>
        <v>0</v>
      </c>
      <c r="I44" s="84">
        <f t="shared" si="12"/>
        <v>0</v>
      </c>
      <c r="J44" s="84">
        <f t="shared" si="12"/>
        <v>0</v>
      </c>
      <c r="K44" s="84">
        <f t="shared" si="12"/>
        <v>0</v>
      </c>
      <c r="L44" s="84">
        <f t="shared" si="12"/>
        <v>0</v>
      </c>
      <c r="M44" s="84">
        <f t="shared" si="12"/>
        <v>0</v>
      </c>
      <c r="N44" s="84">
        <f t="shared" si="12"/>
        <v>0</v>
      </c>
      <c r="O44" s="84">
        <f t="shared" si="13"/>
        <v>0</v>
      </c>
      <c r="P44" s="84">
        <f t="shared" si="13"/>
        <v>0</v>
      </c>
      <c r="Q44" s="84">
        <f t="shared" si="13"/>
        <v>0</v>
      </c>
      <c r="R44" s="84">
        <f t="shared" si="13"/>
        <v>0</v>
      </c>
      <c r="S44" s="84">
        <f t="shared" si="13"/>
        <v>0</v>
      </c>
      <c r="T44" s="84">
        <f t="shared" si="13"/>
        <v>0</v>
      </c>
      <c r="U44" s="84">
        <f t="shared" si="13"/>
        <v>0</v>
      </c>
      <c r="V44" s="84">
        <f t="shared" si="13"/>
        <v>0</v>
      </c>
      <c r="W44" s="84">
        <f>SIS064_F_Kitossanaudoss2Elektrosenergi5</f>
        <v>0</v>
      </c>
      <c r="X44" s="84">
        <f>SUM(SIS062_F_Kitossanaudoss2Geriamojovande1,SIS063_F_Kitossanaudoss2Geriamojovande1,SIS065_F_Kitossanaudoss2Geriamojovande1)</f>
        <v>0</v>
      </c>
      <c r="Y44" s="84">
        <f>SUM(SIS062_F_Kitossanaudoss2Paslaugaproduk8,SIS063_F_Kitossanaudoss2Paslaugaproduk8,SIS065_F_Kitossanaudoss2Paslaugaproduk8)</f>
        <v>0</v>
      </c>
      <c r="Z44" s="84">
        <f>SIS064_F_Kitossanaudoss2Elektrosenergi6</f>
        <v>0</v>
      </c>
      <c r="AA44" s="84">
        <f>SUM(SIS062_F_Kitossanaudoss2Konkurencinesi1,SIS063_F_Kitossanaudoss2Konkurencinesi1,SIS065_F_Kitossanaudoss2Konkurencinesi1,)</f>
        <v>0</v>
      </c>
      <c r="AB44" s="84">
        <f>SUM(SIS062_F_Kitossanaudoss2Paslaugaproduk9,SIS063_F_Kitossanaudoss2Paslaugaproduk9,SIS065_F_Kitossanaudoss2Paslaugaproduk9)</f>
        <v>0</v>
      </c>
      <c r="AC44" s="85"/>
      <c r="AD44" s="86"/>
      <c r="AE44" s="86"/>
      <c r="AF44" s="86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8"/>
      <c r="AV44" s="85"/>
      <c r="AW44" s="86"/>
      <c r="AX44" s="86"/>
      <c r="AY44" s="86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8"/>
      <c r="BO44" s="85"/>
      <c r="BP44" s="86"/>
      <c r="BQ44" s="86"/>
      <c r="BR44" s="86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8"/>
      <c r="CH44" s="85"/>
      <c r="CI44" s="86"/>
      <c r="CJ44" s="86"/>
      <c r="CK44" s="86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8"/>
      <c r="DA44" s="85"/>
      <c r="DB44" s="86"/>
      <c r="DC44" s="86"/>
      <c r="DD44" s="86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8"/>
      <c r="DT44" s="85"/>
      <c r="DU44" s="86"/>
      <c r="DV44" s="86"/>
      <c r="DW44" s="86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8"/>
      <c r="EM44" s="85"/>
      <c r="EN44" s="86"/>
      <c r="EO44" s="86"/>
      <c r="EP44" s="86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  <c r="FD44" s="87"/>
      <c r="FE44" s="89"/>
    </row>
    <row r="45" spans="2:161" s="6" customFormat="1" ht="26.4">
      <c r="B45" s="93" t="s">
        <v>79</v>
      </c>
      <c r="C45" s="104" t="s">
        <v>80</v>
      </c>
      <c r="D45" s="81">
        <f t="shared" ref="D45:BO45" si="14">SUM(D46:D48)</f>
        <v>133649.54999999999</v>
      </c>
      <c r="E45" s="95">
        <f t="shared" si="14"/>
        <v>78514.23</v>
      </c>
      <c r="F45" s="96">
        <f t="shared" si="14"/>
        <v>0</v>
      </c>
      <c r="G45" s="96">
        <f t="shared" si="14"/>
        <v>0</v>
      </c>
      <c r="H45" s="96">
        <f t="shared" si="14"/>
        <v>0</v>
      </c>
      <c r="I45" s="97">
        <f t="shared" si="14"/>
        <v>0</v>
      </c>
      <c r="J45" s="97">
        <f t="shared" si="14"/>
        <v>27136.89</v>
      </c>
      <c r="K45" s="97">
        <f t="shared" si="14"/>
        <v>0</v>
      </c>
      <c r="L45" s="97">
        <f t="shared" si="14"/>
        <v>0</v>
      </c>
      <c r="M45" s="97">
        <f t="shared" si="14"/>
        <v>0</v>
      </c>
      <c r="N45" s="97">
        <f t="shared" si="14"/>
        <v>0</v>
      </c>
      <c r="O45" s="97">
        <f t="shared" si="14"/>
        <v>0</v>
      </c>
      <c r="P45" s="97">
        <f t="shared" si="14"/>
        <v>0</v>
      </c>
      <c r="Q45" s="97">
        <f t="shared" si="14"/>
        <v>0</v>
      </c>
      <c r="R45" s="97">
        <f t="shared" si="14"/>
        <v>0</v>
      </c>
      <c r="S45" s="97">
        <f t="shared" si="14"/>
        <v>27998.43</v>
      </c>
      <c r="T45" s="97">
        <f t="shared" si="14"/>
        <v>0</v>
      </c>
      <c r="U45" s="97">
        <f t="shared" si="14"/>
        <v>0</v>
      </c>
      <c r="V45" s="97">
        <f t="shared" si="14"/>
        <v>0</v>
      </c>
      <c r="W45" s="97">
        <f t="shared" si="14"/>
        <v>0</v>
      </c>
      <c r="X45" s="97">
        <f t="shared" si="14"/>
        <v>0</v>
      </c>
      <c r="Y45" s="97">
        <f t="shared" si="14"/>
        <v>0</v>
      </c>
      <c r="Z45" s="97">
        <f t="shared" si="14"/>
        <v>0</v>
      </c>
      <c r="AA45" s="97">
        <f t="shared" si="14"/>
        <v>0</v>
      </c>
      <c r="AB45" s="97">
        <f t="shared" si="14"/>
        <v>0</v>
      </c>
      <c r="AC45" s="98">
        <f t="shared" si="14"/>
        <v>78514.23</v>
      </c>
      <c r="AD45" s="99">
        <f t="shared" si="14"/>
        <v>0</v>
      </c>
      <c r="AE45" s="99">
        <f t="shared" si="14"/>
        <v>0</v>
      </c>
      <c r="AF45" s="99">
        <f t="shared" si="14"/>
        <v>0</v>
      </c>
      <c r="AG45" s="100">
        <f t="shared" si="14"/>
        <v>0</v>
      </c>
      <c r="AH45" s="100">
        <f t="shared" si="14"/>
        <v>27136.89</v>
      </c>
      <c r="AI45" s="100">
        <f t="shared" si="14"/>
        <v>0</v>
      </c>
      <c r="AJ45" s="100">
        <f t="shared" si="14"/>
        <v>0</v>
      </c>
      <c r="AK45" s="100">
        <f t="shared" si="14"/>
        <v>0</v>
      </c>
      <c r="AL45" s="100">
        <f t="shared" si="14"/>
        <v>0</v>
      </c>
      <c r="AM45" s="100">
        <f t="shared" si="14"/>
        <v>0</v>
      </c>
      <c r="AN45" s="100">
        <f t="shared" si="14"/>
        <v>0</v>
      </c>
      <c r="AO45" s="100">
        <f t="shared" si="14"/>
        <v>0</v>
      </c>
      <c r="AP45" s="100">
        <f t="shared" si="14"/>
        <v>0</v>
      </c>
      <c r="AQ45" s="100">
        <f t="shared" si="14"/>
        <v>27998.43</v>
      </c>
      <c r="AR45" s="100">
        <f t="shared" si="14"/>
        <v>0</v>
      </c>
      <c r="AS45" s="100">
        <f t="shared" si="14"/>
        <v>0</v>
      </c>
      <c r="AT45" s="100">
        <f t="shared" si="14"/>
        <v>0</v>
      </c>
      <c r="AU45" s="97">
        <f t="shared" si="14"/>
        <v>0</v>
      </c>
      <c r="AV45" s="98">
        <f t="shared" si="14"/>
        <v>0</v>
      </c>
      <c r="AW45" s="99">
        <f t="shared" si="14"/>
        <v>0</v>
      </c>
      <c r="AX45" s="99">
        <f t="shared" si="14"/>
        <v>0</v>
      </c>
      <c r="AY45" s="99">
        <f t="shared" si="14"/>
        <v>0</v>
      </c>
      <c r="AZ45" s="100">
        <f t="shared" si="14"/>
        <v>0</v>
      </c>
      <c r="BA45" s="100">
        <f t="shared" si="14"/>
        <v>0</v>
      </c>
      <c r="BB45" s="100">
        <f t="shared" si="14"/>
        <v>0</v>
      </c>
      <c r="BC45" s="100">
        <f t="shared" si="14"/>
        <v>0</v>
      </c>
      <c r="BD45" s="100">
        <f t="shared" si="14"/>
        <v>0</v>
      </c>
      <c r="BE45" s="100">
        <f t="shared" si="14"/>
        <v>0</v>
      </c>
      <c r="BF45" s="100">
        <f t="shared" si="14"/>
        <v>0</v>
      </c>
      <c r="BG45" s="100">
        <f t="shared" si="14"/>
        <v>0</v>
      </c>
      <c r="BH45" s="100">
        <f t="shared" si="14"/>
        <v>0</v>
      </c>
      <c r="BI45" s="100">
        <f t="shared" si="14"/>
        <v>0</v>
      </c>
      <c r="BJ45" s="100">
        <f t="shared" si="14"/>
        <v>0</v>
      </c>
      <c r="BK45" s="100">
        <f t="shared" si="14"/>
        <v>0</v>
      </c>
      <c r="BL45" s="100">
        <f t="shared" si="14"/>
        <v>0</v>
      </c>
      <c r="BM45" s="100">
        <f t="shared" si="14"/>
        <v>0</v>
      </c>
      <c r="BN45" s="97">
        <f t="shared" si="14"/>
        <v>0</v>
      </c>
      <c r="BO45" s="98">
        <f t="shared" si="14"/>
        <v>0</v>
      </c>
      <c r="BP45" s="99">
        <f t="shared" ref="BP45:EA45" si="15">SUM(BP46:BP48)</f>
        <v>0</v>
      </c>
      <c r="BQ45" s="99">
        <f t="shared" si="15"/>
        <v>0</v>
      </c>
      <c r="BR45" s="99">
        <f t="shared" si="15"/>
        <v>0</v>
      </c>
      <c r="BS45" s="100">
        <f t="shared" si="15"/>
        <v>0</v>
      </c>
      <c r="BT45" s="100">
        <f t="shared" si="15"/>
        <v>0</v>
      </c>
      <c r="BU45" s="100">
        <f t="shared" si="15"/>
        <v>0</v>
      </c>
      <c r="BV45" s="100">
        <f t="shared" si="15"/>
        <v>0</v>
      </c>
      <c r="BW45" s="100">
        <f t="shared" si="15"/>
        <v>0</v>
      </c>
      <c r="BX45" s="100">
        <f t="shared" si="15"/>
        <v>0</v>
      </c>
      <c r="BY45" s="100">
        <f t="shared" si="15"/>
        <v>0</v>
      </c>
      <c r="BZ45" s="100">
        <f t="shared" si="15"/>
        <v>0</v>
      </c>
      <c r="CA45" s="100">
        <f t="shared" si="15"/>
        <v>0</v>
      </c>
      <c r="CB45" s="100">
        <f t="shared" si="15"/>
        <v>0</v>
      </c>
      <c r="CC45" s="100">
        <f t="shared" si="15"/>
        <v>0</v>
      </c>
      <c r="CD45" s="100">
        <f t="shared" si="15"/>
        <v>0</v>
      </c>
      <c r="CE45" s="100">
        <f t="shared" si="15"/>
        <v>0</v>
      </c>
      <c r="CF45" s="100">
        <f t="shared" si="15"/>
        <v>0</v>
      </c>
      <c r="CG45" s="97">
        <f t="shared" si="15"/>
        <v>0</v>
      </c>
      <c r="CH45" s="98">
        <f t="shared" si="15"/>
        <v>0</v>
      </c>
      <c r="CI45" s="99">
        <f t="shared" si="15"/>
        <v>0</v>
      </c>
      <c r="CJ45" s="99">
        <f t="shared" si="15"/>
        <v>0</v>
      </c>
      <c r="CK45" s="99">
        <f t="shared" si="15"/>
        <v>0</v>
      </c>
      <c r="CL45" s="100">
        <f t="shared" si="15"/>
        <v>0</v>
      </c>
      <c r="CM45" s="100">
        <f t="shared" si="15"/>
        <v>0</v>
      </c>
      <c r="CN45" s="100">
        <f t="shared" si="15"/>
        <v>0</v>
      </c>
      <c r="CO45" s="100">
        <f t="shared" si="15"/>
        <v>0</v>
      </c>
      <c r="CP45" s="100">
        <f t="shared" si="15"/>
        <v>0</v>
      </c>
      <c r="CQ45" s="100">
        <f t="shared" si="15"/>
        <v>0</v>
      </c>
      <c r="CR45" s="100">
        <f t="shared" si="15"/>
        <v>0</v>
      </c>
      <c r="CS45" s="100">
        <f t="shared" si="15"/>
        <v>0</v>
      </c>
      <c r="CT45" s="100">
        <f t="shared" si="15"/>
        <v>0</v>
      </c>
      <c r="CU45" s="100">
        <f t="shared" si="15"/>
        <v>0</v>
      </c>
      <c r="CV45" s="100">
        <f t="shared" si="15"/>
        <v>0</v>
      </c>
      <c r="CW45" s="100">
        <f t="shared" si="15"/>
        <v>0</v>
      </c>
      <c r="CX45" s="100">
        <f t="shared" si="15"/>
        <v>0</v>
      </c>
      <c r="CY45" s="100">
        <f t="shared" si="15"/>
        <v>0</v>
      </c>
      <c r="CZ45" s="97">
        <f t="shared" si="15"/>
        <v>0</v>
      </c>
      <c r="DA45" s="98">
        <f t="shared" si="15"/>
        <v>0</v>
      </c>
      <c r="DB45" s="99">
        <f t="shared" si="15"/>
        <v>0</v>
      </c>
      <c r="DC45" s="99">
        <f t="shared" si="15"/>
        <v>0</v>
      </c>
      <c r="DD45" s="99">
        <f t="shared" si="15"/>
        <v>0</v>
      </c>
      <c r="DE45" s="100">
        <f t="shared" si="15"/>
        <v>0</v>
      </c>
      <c r="DF45" s="100">
        <f t="shared" si="15"/>
        <v>0</v>
      </c>
      <c r="DG45" s="100">
        <f t="shared" si="15"/>
        <v>0</v>
      </c>
      <c r="DH45" s="100">
        <f t="shared" si="15"/>
        <v>0</v>
      </c>
      <c r="DI45" s="100">
        <f t="shared" si="15"/>
        <v>0</v>
      </c>
      <c r="DJ45" s="100">
        <f t="shared" si="15"/>
        <v>0</v>
      </c>
      <c r="DK45" s="100">
        <f t="shared" si="15"/>
        <v>0</v>
      </c>
      <c r="DL45" s="100">
        <f t="shared" si="15"/>
        <v>0</v>
      </c>
      <c r="DM45" s="100">
        <f t="shared" si="15"/>
        <v>0</v>
      </c>
      <c r="DN45" s="100">
        <f t="shared" si="15"/>
        <v>0</v>
      </c>
      <c r="DO45" s="100">
        <f t="shared" si="15"/>
        <v>0</v>
      </c>
      <c r="DP45" s="100">
        <f t="shared" si="15"/>
        <v>0</v>
      </c>
      <c r="DQ45" s="100">
        <f t="shared" si="15"/>
        <v>0</v>
      </c>
      <c r="DR45" s="100">
        <f t="shared" si="15"/>
        <v>0</v>
      </c>
      <c r="DS45" s="97">
        <f t="shared" si="15"/>
        <v>0</v>
      </c>
      <c r="DT45" s="98">
        <f t="shared" si="15"/>
        <v>0</v>
      </c>
      <c r="DU45" s="99">
        <f t="shared" si="15"/>
        <v>0</v>
      </c>
      <c r="DV45" s="99">
        <f t="shared" si="15"/>
        <v>0</v>
      </c>
      <c r="DW45" s="99">
        <f t="shared" si="15"/>
        <v>0</v>
      </c>
      <c r="DX45" s="100">
        <f t="shared" si="15"/>
        <v>0</v>
      </c>
      <c r="DY45" s="100">
        <f t="shared" si="15"/>
        <v>0</v>
      </c>
      <c r="DZ45" s="100">
        <f t="shared" si="15"/>
        <v>0</v>
      </c>
      <c r="EA45" s="100">
        <f t="shared" si="15"/>
        <v>0</v>
      </c>
      <c r="EB45" s="100">
        <f t="shared" ref="EB45:GP45" si="16">SUM(EB46:EB48)</f>
        <v>0</v>
      </c>
      <c r="EC45" s="100">
        <f t="shared" si="16"/>
        <v>0</v>
      </c>
      <c r="ED45" s="100">
        <f t="shared" si="16"/>
        <v>0</v>
      </c>
      <c r="EE45" s="100">
        <f t="shared" si="16"/>
        <v>0</v>
      </c>
      <c r="EF45" s="100">
        <f t="shared" si="16"/>
        <v>0</v>
      </c>
      <c r="EG45" s="100">
        <f t="shared" si="16"/>
        <v>0</v>
      </c>
      <c r="EH45" s="100">
        <f t="shared" si="16"/>
        <v>0</v>
      </c>
      <c r="EI45" s="100">
        <f t="shared" si="16"/>
        <v>0</v>
      </c>
      <c r="EJ45" s="100">
        <f t="shared" si="16"/>
        <v>0</v>
      </c>
      <c r="EK45" s="100">
        <f t="shared" si="16"/>
        <v>0</v>
      </c>
      <c r="EL45" s="97">
        <f t="shared" si="16"/>
        <v>0</v>
      </c>
      <c r="EM45" s="98">
        <f t="shared" si="16"/>
        <v>0</v>
      </c>
      <c r="EN45" s="99">
        <f t="shared" si="16"/>
        <v>0</v>
      </c>
      <c r="EO45" s="99">
        <f t="shared" si="16"/>
        <v>0</v>
      </c>
      <c r="EP45" s="99">
        <f t="shared" si="16"/>
        <v>0</v>
      </c>
      <c r="EQ45" s="100">
        <f t="shared" si="16"/>
        <v>0</v>
      </c>
      <c r="ER45" s="100">
        <f t="shared" si="16"/>
        <v>0</v>
      </c>
      <c r="ES45" s="100">
        <f t="shared" si="16"/>
        <v>0</v>
      </c>
      <c r="ET45" s="100">
        <f t="shared" si="16"/>
        <v>0</v>
      </c>
      <c r="EU45" s="100">
        <f t="shared" si="16"/>
        <v>0</v>
      </c>
      <c r="EV45" s="100">
        <f t="shared" si="16"/>
        <v>0</v>
      </c>
      <c r="EW45" s="100">
        <f t="shared" si="16"/>
        <v>0</v>
      </c>
      <c r="EX45" s="100">
        <f t="shared" si="16"/>
        <v>0</v>
      </c>
      <c r="EY45" s="100">
        <f t="shared" si="16"/>
        <v>0</v>
      </c>
      <c r="EZ45" s="100">
        <f t="shared" si="16"/>
        <v>0</v>
      </c>
      <c r="FA45" s="100">
        <f t="shared" si="16"/>
        <v>0</v>
      </c>
      <c r="FB45" s="100">
        <f t="shared" si="16"/>
        <v>0</v>
      </c>
      <c r="FC45" s="100">
        <f t="shared" si="16"/>
        <v>0</v>
      </c>
      <c r="FD45" s="100">
        <f t="shared" si="16"/>
        <v>0</v>
      </c>
      <c r="FE45" s="101">
        <f t="shared" si="16"/>
        <v>0</v>
      </c>
    </row>
    <row r="46" spans="2:161" s="6" customFormat="1" ht="13.2">
      <c r="B46" s="79" t="s">
        <v>81</v>
      </c>
      <c r="C46" s="80" t="s">
        <v>82</v>
      </c>
      <c r="D46" s="81">
        <f>SUM(E46:AB46)</f>
        <v>133649.54999999999</v>
      </c>
      <c r="E46" s="82">
        <f t="shared" ref="E46:T48" si="17">SUM(AC46,AV46,BO46,CH46,DA46,DT46,EM46)</f>
        <v>78514.23</v>
      </c>
      <c r="F46" s="83">
        <f t="shared" si="17"/>
        <v>0</v>
      </c>
      <c r="G46" s="83">
        <f t="shared" si="17"/>
        <v>0</v>
      </c>
      <c r="H46" s="83">
        <f t="shared" si="17"/>
        <v>0</v>
      </c>
      <c r="I46" s="84">
        <f t="shared" si="17"/>
        <v>0</v>
      </c>
      <c r="J46" s="84">
        <f t="shared" si="17"/>
        <v>27136.89</v>
      </c>
      <c r="K46" s="84">
        <f t="shared" si="17"/>
        <v>0</v>
      </c>
      <c r="L46" s="84">
        <f t="shared" si="17"/>
        <v>0</v>
      </c>
      <c r="M46" s="84">
        <f t="shared" si="17"/>
        <v>0</v>
      </c>
      <c r="N46" s="84">
        <f t="shared" si="17"/>
        <v>0</v>
      </c>
      <c r="O46" s="84">
        <f t="shared" si="17"/>
        <v>0</v>
      </c>
      <c r="P46" s="84">
        <f t="shared" si="17"/>
        <v>0</v>
      </c>
      <c r="Q46" s="84">
        <f t="shared" si="17"/>
        <v>0</v>
      </c>
      <c r="R46" s="84">
        <f t="shared" si="17"/>
        <v>0</v>
      </c>
      <c r="S46" s="84">
        <f t="shared" si="17"/>
        <v>27998.43</v>
      </c>
      <c r="T46" s="84">
        <f t="shared" si="17"/>
        <v>0</v>
      </c>
      <c r="U46" s="84">
        <f t="shared" ref="O46:V48" si="18">SUM(AS46,BL46,CE46,CX46,DQ46,EJ46,FC46)</f>
        <v>0</v>
      </c>
      <c r="V46" s="84">
        <f t="shared" si="18"/>
        <v>0</v>
      </c>
      <c r="W46" s="84">
        <f>SIS064_F_Elektrosenergi9Elektrosenergi5</f>
        <v>0</v>
      </c>
      <c r="X46" s="84">
        <f>SUM(SIS062_F_Elektrosenergi4Geriamojovande1,SIS063_F_Elektrosenergi4Geriamojovande1,SIS065_F_Elektrosenergi4Geriamojovande1)</f>
        <v>0</v>
      </c>
      <c r="Y46" s="84">
        <f>SUM(SIS062_F_Elektrosenergi4Paslaugaproduk8,SIS063_F_Elektrosenergi4Paslaugaproduk8,SIS065_F_Elektrosenergi4Paslaugaproduk8)</f>
        <v>0</v>
      </c>
      <c r="Z46" s="84">
        <f>SIS064_F_Elektrosenergi9Elektrosenergi6</f>
        <v>0</v>
      </c>
      <c r="AA46" s="84">
        <f>SUM(SIS062_F_Elektrosenergi4Konkurencinesi1,SIS063_F_Elektrosenergi4Konkurencinesi1,SIS065_F_Elektrosenergi4Konkurencinesi1,)</f>
        <v>0</v>
      </c>
      <c r="AB46" s="84">
        <f>SUM(SIS062_F_Elektrosenergi4Paslaugaproduk9,SIS063_F_Elektrosenergi4Paslaugaproduk9,SIS065_F_Elektrosenergi4Paslaugaproduk9)</f>
        <v>0</v>
      </c>
      <c r="AC46" s="85">
        <v>78514.23</v>
      </c>
      <c r="AD46" s="86">
        <v>0</v>
      </c>
      <c r="AE46" s="86">
        <v>0</v>
      </c>
      <c r="AF46" s="86">
        <v>0</v>
      </c>
      <c r="AG46" s="87">
        <v>0</v>
      </c>
      <c r="AH46" s="87">
        <v>27136.89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27998.43</v>
      </c>
      <c r="AR46" s="87"/>
      <c r="AS46" s="87"/>
      <c r="AT46" s="87"/>
      <c r="AU46" s="88"/>
      <c r="AV46" s="85"/>
      <c r="AW46" s="86"/>
      <c r="AX46" s="86"/>
      <c r="AY46" s="86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8"/>
      <c r="BO46" s="85"/>
      <c r="BP46" s="86"/>
      <c r="BQ46" s="86"/>
      <c r="BR46" s="86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8"/>
      <c r="CH46" s="85"/>
      <c r="CI46" s="86"/>
      <c r="CJ46" s="86"/>
      <c r="CK46" s="86"/>
      <c r="CL46" s="87"/>
      <c r="CM46" s="87"/>
      <c r="CN46" s="87"/>
      <c r="CO46" s="87"/>
      <c r="CP46" s="87"/>
      <c r="CQ46" s="87"/>
      <c r="CR46" s="87"/>
      <c r="CS46" s="87"/>
      <c r="CT46" s="87"/>
      <c r="CU46" s="87"/>
      <c r="CV46" s="87"/>
      <c r="CW46" s="87"/>
      <c r="CX46" s="87"/>
      <c r="CY46" s="87"/>
      <c r="CZ46" s="88"/>
      <c r="DA46" s="85"/>
      <c r="DB46" s="86"/>
      <c r="DC46" s="86"/>
      <c r="DD46" s="86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8"/>
      <c r="DT46" s="85"/>
      <c r="DU46" s="86"/>
      <c r="DV46" s="86"/>
      <c r="DW46" s="86"/>
      <c r="DX46" s="87"/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7"/>
      <c r="EJ46" s="87"/>
      <c r="EK46" s="87"/>
      <c r="EL46" s="88"/>
      <c r="EM46" s="85"/>
      <c r="EN46" s="86"/>
      <c r="EO46" s="86"/>
      <c r="EP46" s="86"/>
      <c r="EQ46" s="87"/>
      <c r="ER46" s="87"/>
      <c r="ES46" s="87"/>
      <c r="ET46" s="87"/>
      <c r="EU46" s="87"/>
      <c r="EV46" s="87"/>
      <c r="EW46" s="87"/>
      <c r="EX46" s="87"/>
      <c r="EY46" s="87"/>
      <c r="EZ46" s="87"/>
      <c r="FA46" s="87"/>
      <c r="FB46" s="87"/>
      <c r="FC46" s="87"/>
      <c r="FD46" s="87"/>
      <c r="FE46" s="89"/>
    </row>
    <row r="47" spans="2:161" s="6" customFormat="1" ht="13.2" hidden="1">
      <c r="B47" s="79" t="s">
        <v>83</v>
      </c>
      <c r="C47" s="105" t="s">
        <v>84</v>
      </c>
      <c r="D47" s="81">
        <f>SUM(E47:AB47)</f>
        <v>0</v>
      </c>
      <c r="E47" s="82">
        <f t="shared" si="17"/>
        <v>0</v>
      </c>
      <c r="F47" s="83">
        <f t="shared" si="17"/>
        <v>0</v>
      </c>
      <c r="G47" s="83">
        <f t="shared" si="17"/>
        <v>0</v>
      </c>
      <c r="H47" s="83">
        <f t="shared" si="17"/>
        <v>0</v>
      </c>
      <c r="I47" s="84">
        <f t="shared" si="17"/>
        <v>0</v>
      </c>
      <c r="J47" s="84">
        <f t="shared" si="17"/>
        <v>0</v>
      </c>
      <c r="K47" s="84">
        <f t="shared" si="17"/>
        <v>0</v>
      </c>
      <c r="L47" s="84">
        <f t="shared" si="17"/>
        <v>0</v>
      </c>
      <c r="M47" s="84">
        <f t="shared" si="17"/>
        <v>0</v>
      </c>
      <c r="N47" s="84">
        <f t="shared" si="17"/>
        <v>0</v>
      </c>
      <c r="O47" s="84">
        <f t="shared" si="18"/>
        <v>0</v>
      </c>
      <c r="P47" s="84">
        <f t="shared" si="18"/>
        <v>0</v>
      </c>
      <c r="Q47" s="84">
        <f t="shared" si="18"/>
        <v>0</v>
      </c>
      <c r="R47" s="84">
        <f t="shared" si="18"/>
        <v>0</v>
      </c>
      <c r="S47" s="84">
        <f t="shared" si="18"/>
        <v>0</v>
      </c>
      <c r="T47" s="84">
        <f t="shared" si="18"/>
        <v>0</v>
      </c>
      <c r="U47" s="84">
        <f t="shared" si="18"/>
        <v>0</v>
      </c>
      <c r="V47" s="84">
        <f t="shared" si="18"/>
        <v>0</v>
      </c>
      <c r="W47" s="84"/>
      <c r="X47" s="84">
        <f t="array" ref="X47">SIS064_F_Isviso3Geriamojovande1</f>
        <v>0</v>
      </c>
      <c r="Y47" s="84">
        <f t="array" ref="Y47">SIS064_F_Isviso3Paslaugaproduk8</f>
        <v>0</v>
      </c>
      <c r="Z47" s="84"/>
      <c r="AA47" s="84"/>
      <c r="AB47" s="84">
        <f t="array" ref="AB47">SIS064_F_Isviso3Paslaugaproduk9</f>
        <v>0</v>
      </c>
      <c r="AC47" s="85"/>
      <c r="AD47" s="86"/>
      <c r="AE47" s="86"/>
      <c r="AF47" s="86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8"/>
      <c r="AV47" s="85"/>
      <c r="AW47" s="86"/>
      <c r="AX47" s="86"/>
      <c r="AY47" s="86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8"/>
      <c r="BO47" s="85"/>
      <c r="BP47" s="86"/>
      <c r="BQ47" s="86"/>
      <c r="BR47" s="86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87"/>
      <c r="CE47" s="87"/>
      <c r="CF47" s="87"/>
      <c r="CG47" s="88"/>
      <c r="CH47" s="85"/>
      <c r="CI47" s="86"/>
      <c r="CJ47" s="86"/>
      <c r="CK47" s="86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8"/>
      <c r="DA47" s="85"/>
      <c r="DB47" s="86"/>
      <c r="DC47" s="86"/>
      <c r="DD47" s="86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8"/>
      <c r="DT47" s="85"/>
      <c r="DU47" s="86"/>
      <c r="DV47" s="86"/>
      <c r="DW47" s="86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8"/>
      <c r="EM47" s="85"/>
      <c r="EN47" s="86"/>
      <c r="EO47" s="86"/>
      <c r="EP47" s="86"/>
      <c r="EQ47" s="87"/>
      <c r="ER47" s="87"/>
      <c r="ES47" s="87"/>
      <c r="ET47" s="87"/>
      <c r="EU47" s="87"/>
      <c r="EV47" s="87"/>
      <c r="EW47" s="87"/>
      <c r="EX47" s="87"/>
      <c r="EY47" s="87"/>
      <c r="EZ47" s="87"/>
      <c r="FA47" s="87"/>
      <c r="FB47" s="87"/>
      <c r="FC47" s="87"/>
      <c r="FD47" s="87"/>
      <c r="FE47" s="89"/>
    </row>
    <row r="48" spans="2:161" s="6" customFormat="1" ht="13.2" hidden="1">
      <c r="B48" s="79" t="s">
        <v>85</v>
      </c>
      <c r="C48" s="80" t="str">
        <f>SIS055_D_Kitossanaudoss3</f>
        <v>Kitos sąnaudos, susijusios su elektros energijos TR įsigijimu (nurodyti)</v>
      </c>
      <c r="D48" s="81">
        <f>SUM(E48:AB48)</f>
        <v>0</v>
      </c>
      <c r="E48" s="82">
        <f t="shared" si="17"/>
        <v>0</v>
      </c>
      <c r="F48" s="83">
        <f t="shared" si="17"/>
        <v>0</v>
      </c>
      <c r="G48" s="83">
        <f t="shared" si="17"/>
        <v>0</v>
      </c>
      <c r="H48" s="83">
        <f t="shared" si="17"/>
        <v>0</v>
      </c>
      <c r="I48" s="84">
        <f t="shared" si="17"/>
        <v>0</v>
      </c>
      <c r="J48" s="84">
        <f t="shared" si="17"/>
        <v>0</v>
      </c>
      <c r="K48" s="84">
        <f t="shared" si="17"/>
        <v>0</v>
      </c>
      <c r="L48" s="84">
        <f t="shared" si="17"/>
        <v>0</v>
      </c>
      <c r="M48" s="84">
        <f t="shared" si="17"/>
        <v>0</v>
      </c>
      <c r="N48" s="84">
        <f t="shared" si="17"/>
        <v>0</v>
      </c>
      <c r="O48" s="84">
        <f t="shared" si="18"/>
        <v>0</v>
      </c>
      <c r="P48" s="84">
        <f t="shared" si="18"/>
        <v>0</v>
      </c>
      <c r="Q48" s="84">
        <f t="shared" si="18"/>
        <v>0</v>
      </c>
      <c r="R48" s="84">
        <f t="shared" si="18"/>
        <v>0</v>
      </c>
      <c r="S48" s="84">
        <f t="shared" si="18"/>
        <v>0</v>
      </c>
      <c r="T48" s="84">
        <f t="shared" si="18"/>
        <v>0</v>
      </c>
      <c r="U48" s="84">
        <f t="shared" si="18"/>
        <v>0</v>
      </c>
      <c r="V48" s="84">
        <f t="shared" si="18"/>
        <v>0</v>
      </c>
      <c r="W48" s="84">
        <f>SIS064_F_Kitossanaudoss3Elektrosenergi5</f>
        <v>0</v>
      </c>
      <c r="X48" s="84">
        <f>SUM(SIS062_F_Kitossanaudoss3Geriamojovande1,SIS063_F_Kitossanaudoss3Geriamojovande1,SIS065_F_Kitossanaudoss3Geriamojovande1)</f>
        <v>0</v>
      </c>
      <c r="Y48" s="84">
        <f>SUM(SIS062_F_Kitossanaudoss3Paslaugaproduk8,SIS063_F_Kitossanaudoss3Paslaugaproduk8,SIS065_F_Kitossanaudoss3Paslaugaproduk8)</f>
        <v>0</v>
      </c>
      <c r="Z48" s="84">
        <f>SIS064_F_Kitossanaudoss3Elektrosenergi6</f>
        <v>0</v>
      </c>
      <c r="AA48" s="84">
        <f>SUM(SIS062_F_Kitossanaudoss3Konkurencinesi1,SIS063_F_Kitossanaudoss3Konkurencinesi1,SIS065_F_Kitossanaudoss3Konkurencinesi1,)</f>
        <v>0</v>
      </c>
      <c r="AB48" s="84">
        <f>SUM(SIS062_F_Kitossanaudoss3Paslaugaproduk9,SIS063_F_Kitossanaudoss3Paslaugaproduk9,SIS065_F_Kitossanaudoss3Paslaugaproduk9)</f>
        <v>0</v>
      </c>
      <c r="AC48" s="85"/>
      <c r="AD48" s="86"/>
      <c r="AE48" s="86"/>
      <c r="AF48" s="86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8"/>
      <c r="AV48" s="85"/>
      <c r="AW48" s="86"/>
      <c r="AX48" s="86"/>
      <c r="AY48" s="86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8"/>
      <c r="BO48" s="85"/>
      <c r="BP48" s="86"/>
      <c r="BQ48" s="86"/>
      <c r="BR48" s="86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8"/>
      <c r="CH48" s="85"/>
      <c r="CI48" s="86"/>
      <c r="CJ48" s="86"/>
      <c r="CK48" s="86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8"/>
      <c r="DA48" s="85"/>
      <c r="DB48" s="86"/>
      <c r="DC48" s="86"/>
      <c r="DD48" s="86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8"/>
      <c r="DT48" s="85"/>
      <c r="DU48" s="86"/>
      <c r="DV48" s="86"/>
      <c r="DW48" s="86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8"/>
      <c r="EM48" s="85"/>
      <c r="EN48" s="86"/>
      <c r="EO48" s="86"/>
      <c r="EP48" s="86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9"/>
    </row>
    <row r="49" spans="2:161" s="6" customFormat="1" ht="26.4">
      <c r="B49" s="93" t="s">
        <v>86</v>
      </c>
      <c r="C49" s="104" t="s">
        <v>87</v>
      </c>
      <c r="D49" s="81">
        <f t="shared" ref="D49:BO49" si="19">SUM(D50:D52)</f>
        <v>75672.810000000012</v>
      </c>
      <c r="E49" s="95">
        <f t="shared" si="19"/>
        <v>1356.9</v>
      </c>
      <c r="F49" s="96">
        <f t="shared" si="19"/>
        <v>0</v>
      </c>
      <c r="G49" s="96">
        <f t="shared" si="19"/>
        <v>0</v>
      </c>
      <c r="H49" s="96">
        <f t="shared" si="19"/>
        <v>0</v>
      </c>
      <c r="I49" s="97">
        <f t="shared" si="19"/>
        <v>0</v>
      </c>
      <c r="J49" s="97">
        <f t="shared" si="19"/>
        <v>1064.81</v>
      </c>
      <c r="K49" s="97">
        <f t="shared" si="19"/>
        <v>0</v>
      </c>
      <c r="L49" s="97">
        <f t="shared" si="19"/>
        <v>0</v>
      </c>
      <c r="M49" s="97">
        <f t="shared" si="19"/>
        <v>0</v>
      </c>
      <c r="N49" s="97">
        <f t="shared" si="19"/>
        <v>73251.100000000006</v>
      </c>
      <c r="O49" s="97">
        <f t="shared" si="19"/>
        <v>0</v>
      </c>
      <c r="P49" s="97">
        <f t="shared" si="19"/>
        <v>0</v>
      </c>
      <c r="Q49" s="97">
        <f t="shared" si="19"/>
        <v>0</v>
      </c>
      <c r="R49" s="97">
        <f t="shared" si="19"/>
        <v>0</v>
      </c>
      <c r="S49" s="97">
        <f t="shared" si="19"/>
        <v>0</v>
      </c>
      <c r="T49" s="97">
        <f t="shared" si="19"/>
        <v>0</v>
      </c>
      <c r="U49" s="97">
        <f t="shared" si="19"/>
        <v>0</v>
      </c>
      <c r="V49" s="97">
        <f t="shared" si="19"/>
        <v>0</v>
      </c>
      <c r="W49" s="97">
        <f t="shared" si="19"/>
        <v>0</v>
      </c>
      <c r="X49" s="97">
        <f t="shared" si="19"/>
        <v>0</v>
      </c>
      <c r="Y49" s="97">
        <f t="shared" si="19"/>
        <v>0</v>
      </c>
      <c r="Z49" s="97">
        <f t="shared" si="19"/>
        <v>0</v>
      </c>
      <c r="AA49" s="97">
        <f t="shared" si="19"/>
        <v>0</v>
      </c>
      <c r="AB49" s="97">
        <f t="shared" si="19"/>
        <v>0</v>
      </c>
      <c r="AC49" s="98">
        <f t="shared" si="19"/>
        <v>1356.9</v>
      </c>
      <c r="AD49" s="99">
        <f t="shared" si="19"/>
        <v>0</v>
      </c>
      <c r="AE49" s="99">
        <f t="shared" si="19"/>
        <v>0</v>
      </c>
      <c r="AF49" s="99">
        <f t="shared" si="19"/>
        <v>0</v>
      </c>
      <c r="AG49" s="100">
        <f t="shared" si="19"/>
        <v>0</v>
      </c>
      <c r="AH49" s="100">
        <f t="shared" si="19"/>
        <v>1064.81</v>
      </c>
      <c r="AI49" s="100">
        <f t="shared" si="19"/>
        <v>0</v>
      </c>
      <c r="AJ49" s="100">
        <f t="shared" si="19"/>
        <v>0</v>
      </c>
      <c r="AK49" s="100">
        <f t="shared" si="19"/>
        <v>0</v>
      </c>
      <c r="AL49" s="100">
        <f t="shared" si="19"/>
        <v>73251.100000000006</v>
      </c>
      <c r="AM49" s="100">
        <f t="shared" si="19"/>
        <v>0</v>
      </c>
      <c r="AN49" s="100">
        <f t="shared" si="19"/>
        <v>0</v>
      </c>
      <c r="AO49" s="100">
        <f t="shared" si="19"/>
        <v>0</v>
      </c>
      <c r="AP49" s="100">
        <f t="shared" si="19"/>
        <v>0</v>
      </c>
      <c r="AQ49" s="100">
        <f t="shared" si="19"/>
        <v>0</v>
      </c>
      <c r="AR49" s="100">
        <f t="shared" si="19"/>
        <v>0</v>
      </c>
      <c r="AS49" s="100">
        <f t="shared" si="19"/>
        <v>0</v>
      </c>
      <c r="AT49" s="100">
        <f t="shared" si="19"/>
        <v>0</v>
      </c>
      <c r="AU49" s="97">
        <f t="shared" si="19"/>
        <v>0</v>
      </c>
      <c r="AV49" s="98">
        <f t="shared" si="19"/>
        <v>0</v>
      </c>
      <c r="AW49" s="99">
        <f t="shared" si="19"/>
        <v>0</v>
      </c>
      <c r="AX49" s="99">
        <f t="shared" si="19"/>
        <v>0</v>
      </c>
      <c r="AY49" s="99">
        <f t="shared" si="19"/>
        <v>0</v>
      </c>
      <c r="AZ49" s="100">
        <f t="shared" si="19"/>
        <v>0</v>
      </c>
      <c r="BA49" s="100">
        <f t="shared" si="19"/>
        <v>0</v>
      </c>
      <c r="BB49" s="100">
        <f t="shared" si="19"/>
        <v>0</v>
      </c>
      <c r="BC49" s="100">
        <f t="shared" si="19"/>
        <v>0</v>
      </c>
      <c r="BD49" s="100">
        <f t="shared" si="19"/>
        <v>0</v>
      </c>
      <c r="BE49" s="100">
        <f t="shared" si="19"/>
        <v>0</v>
      </c>
      <c r="BF49" s="100">
        <f t="shared" si="19"/>
        <v>0</v>
      </c>
      <c r="BG49" s="100">
        <f t="shared" si="19"/>
        <v>0</v>
      </c>
      <c r="BH49" s="100">
        <f t="shared" si="19"/>
        <v>0</v>
      </c>
      <c r="BI49" s="100">
        <f t="shared" si="19"/>
        <v>0</v>
      </c>
      <c r="BJ49" s="100">
        <f t="shared" si="19"/>
        <v>0</v>
      </c>
      <c r="BK49" s="100">
        <f t="shared" si="19"/>
        <v>0</v>
      </c>
      <c r="BL49" s="100">
        <f t="shared" si="19"/>
        <v>0</v>
      </c>
      <c r="BM49" s="100">
        <f t="shared" si="19"/>
        <v>0</v>
      </c>
      <c r="BN49" s="97">
        <f t="shared" si="19"/>
        <v>0</v>
      </c>
      <c r="BO49" s="98">
        <f t="shared" si="19"/>
        <v>0</v>
      </c>
      <c r="BP49" s="99">
        <f t="shared" ref="BP49:EA49" si="20">SUM(BP50:BP52)</f>
        <v>0</v>
      </c>
      <c r="BQ49" s="99">
        <f t="shared" si="20"/>
        <v>0</v>
      </c>
      <c r="BR49" s="99">
        <f t="shared" si="20"/>
        <v>0</v>
      </c>
      <c r="BS49" s="100">
        <f t="shared" si="20"/>
        <v>0</v>
      </c>
      <c r="BT49" s="100">
        <f t="shared" si="20"/>
        <v>0</v>
      </c>
      <c r="BU49" s="100">
        <f t="shared" si="20"/>
        <v>0</v>
      </c>
      <c r="BV49" s="100">
        <f t="shared" si="20"/>
        <v>0</v>
      </c>
      <c r="BW49" s="100">
        <f t="shared" si="20"/>
        <v>0</v>
      </c>
      <c r="BX49" s="100">
        <f t="shared" si="20"/>
        <v>0</v>
      </c>
      <c r="BY49" s="100">
        <f t="shared" si="20"/>
        <v>0</v>
      </c>
      <c r="BZ49" s="100">
        <f t="shared" si="20"/>
        <v>0</v>
      </c>
      <c r="CA49" s="100">
        <f t="shared" si="20"/>
        <v>0</v>
      </c>
      <c r="CB49" s="100">
        <f t="shared" si="20"/>
        <v>0</v>
      </c>
      <c r="CC49" s="100">
        <f t="shared" si="20"/>
        <v>0</v>
      </c>
      <c r="CD49" s="100">
        <f t="shared" si="20"/>
        <v>0</v>
      </c>
      <c r="CE49" s="100">
        <f t="shared" si="20"/>
        <v>0</v>
      </c>
      <c r="CF49" s="100">
        <f t="shared" si="20"/>
        <v>0</v>
      </c>
      <c r="CG49" s="97">
        <f t="shared" si="20"/>
        <v>0</v>
      </c>
      <c r="CH49" s="98">
        <f t="shared" si="20"/>
        <v>0</v>
      </c>
      <c r="CI49" s="99">
        <f t="shared" si="20"/>
        <v>0</v>
      </c>
      <c r="CJ49" s="99">
        <f t="shared" si="20"/>
        <v>0</v>
      </c>
      <c r="CK49" s="99">
        <f t="shared" si="20"/>
        <v>0</v>
      </c>
      <c r="CL49" s="100">
        <f t="shared" si="20"/>
        <v>0</v>
      </c>
      <c r="CM49" s="100">
        <f t="shared" si="20"/>
        <v>0</v>
      </c>
      <c r="CN49" s="100">
        <f t="shared" si="20"/>
        <v>0</v>
      </c>
      <c r="CO49" s="100">
        <f t="shared" si="20"/>
        <v>0</v>
      </c>
      <c r="CP49" s="100">
        <f t="shared" si="20"/>
        <v>0</v>
      </c>
      <c r="CQ49" s="100">
        <f t="shared" si="20"/>
        <v>0</v>
      </c>
      <c r="CR49" s="100">
        <f t="shared" si="20"/>
        <v>0</v>
      </c>
      <c r="CS49" s="100">
        <f t="shared" si="20"/>
        <v>0</v>
      </c>
      <c r="CT49" s="100">
        <f t="shared" si="20"/>
        <v>0</v>
      </c>
      <c r="CU49" s="100">
        <f t="shared" si="20"/>
        <v>0</v>
      </c>
      <c r="CV49" s="100">
        <f t="shared" si="20"/>
        <v>0</v>
      </c>
      <c r="CW49" s="100">
        <f t="shared" si="20"/>
        <v>0</v>
      </c>
      <c r="CX49" s="100">
        <f t="shared" si="20"/>
        <v>0</v>
      </c>
      <c r="CY49" s="100">
        <f t="shared" si="20"/>
        <v>0</v>
      </c>
      <c r="CZ49" s="97">
        <f t="shared" si="20"/>
        <v>0</v>
      </c>
      <c r="DA49" s="98">
        <f t="shared" si="20"/>
        <v>0</v>
      </c>
      <c r="DB49" s="99">
        <f t="shared" si="20"/>
        <v>0</v>
      </c>
      <c r="DC49" s="99">
        <f t="shared" si="20"/>
        <v>0</v>
      </c>
      <c r="DD49" s="99">
        <f t="shared" si="20"/>
        <v>0</v>
      </c>
      <c r="DE49" s="100">
        <f t="shared" si="20"/>
        <v>0</v>
      </c>
      <c r="DF49" s="100">
        <f t="shared" si="20"/>
        <v>0</v>
      </c>
      <c r="DG49" s="100">
        <f t="shared" si="20"/>
        <v>0</v>
      </c>
      <c r="DH49" s="100">
        <f t="shared" si="20"/>
        <v>0</v>
      </c>
      <c r="DI49" s="100">
        <f t="shared" si="20"/>
        <v>0</v>
      </c>
      <c r="DJ49" s="100">
        <f t="shared" si="20"/>
        <v>0</v>
      </c>
      <c r="DK49" s="100">
        <f t="shared" si="20"/>
        <v>0</v>
      </c>
      <c r="DL49" s="100">
        <f t="shared" si="20"/>
        <v>0</v>
      </c>
      <c r="DM49" s="100">
        <f t="shared" si="20"/>
        <v>0</v>
      </c>
      <c r="DN49" s="100">
        <f t="shared" si="20"/>
        <v>0</v>
      </c>
      <c r="DO49" s="100">
        <f t="shared" si="20"/>
        <v>0</v>
      </c>
      <c r="DP49" s="100">
        <f t="shared" si="20"/>
        <v>0</v>
      </c>
      <c r="DQ49" s="100">
        <f t="shared" si="20"/>
        <v>0</v>
      </c>
      <c r="DR49" s="100">
        <f t="shared" si="20"/>
        <v>0</v>
      </c>
      <c r="DS49" s="97">
        <f t="shared" si="20"/>
        <v>0</v>
      </c>
      <c r="DT49" s="98">
        <f t="shared" si="20"/>
        <v>0</v>
      </c>
      <c r="DU49" s="99">
        <f t="shared" si="20"/>
        <v>0</v>
      </c>
      <c r="DV49" s="99">
        <f t="shared" si="20"/>
        <v>0</v>
      </c>
      <c r="DW49" s="99">
        <f t="shared" si="20"/>
        <v>0</v>
      </c>
      <c r="DX49" s="100">
        <f t="shared" si="20"/>
        <v>0</v>
      </c>
      <c r="DY49" s="100">
        <f t="shared" si="20"/>
        <v>0</v>
      </c>
      <c r="DZ49" s="100">
        <f t="shared" si="20"/>
        <v>0</v>
      </c>
      <c r="EA49" s="100">
        <f t="shared" si="20"/>
        <v>0</v>
      </c>
      <c r="EB49" s="100">
        <f t="shared" ref="EB49:GP49" si="21">SUM(EB50:EB52)</f>
        <v>0</v>
      </c>
      <c r="EC49" s="100">
        <f t="shared" si="21"/>
        <v>0</v>
      </c>
      <c r="ED49" s="100">
        <f t="shared" si="21"/>
        <v>0</v>
      </c>
      <c r="EE49" s="100">
        <f t="shared" si="21"/>
        <v>0</v>
      </c>
      <c r="EF49" s="100">
        <f t="shared" si="21"/>
        <v>0</v>
      </c>
      <c r="EG49" s="100">
        <f t="shared" si="21"/>
        <v>0</v>
      </c>
      <c r="EH49" s="100">
        <f t="shared" si="21"/>
        <v>0</v>
      </c>
      <c r="EI49" s="100">
        <f t="shared" si="21"/>
        <v>0</v>
      </c>
      <c r="EJ49" s="100">
        <f t="shared" si="21"/>
        <v>0</v>
      </c>
      <c r="EK49" s="100">
        <f t="shared" si="21"/>
        <v>0</v>
      </c>
      <c r="EL49" s="97">
        <f t="shared" si="21"/>
        <v>0</v>
      </c>
      <c r="EM49" s="98">
        <f t="shared" si="21"/>
        <v>0</v>
      </c>
      <c r="EN49" s="99">
        <f t="shared" si="21"/>
        <v>0</v>
      </c>
      <c r="EO49" s="99">
        <f t="shared" si="21"/>
        <v>0</v>
      </c>
      <c r="EP49" s="99">
        <f t="shared" si="21"/>
        <v>0</v>
      </c>
      <c r="EQ49" s="100">
        <f t="shared" si="21"/>
        <v>0</v>
      </c>
      <c r="ER49" s="100">
        <f t="shared" si="21"/>
        <v>0</v>
      </c>
      <c r="ES49" s="100">
        <f t="shared" si="21"/>
        <v>0</v>
      </c>
      <c r="ET49" s="100">
        <f t="shared" si="21"/>
        <v>0</v>
      </c>
      <c r="EU49" s="100">
        <f t="shared" si="21"/>
        <v>0</v>
      </c>
      <c r="EV49" s="100">
        <f t="shared" si="21"/>
        <v>0</v>
      </c>
      <c r="EW49" s="100">
        <f t="shared" si="21"/>
        <v>0</v>
      </c>
      <c r="EX49" s="100">
        <f t="shared" si="21"/>
        <v>0</v>
      </c>
      <c r="EY49" s="100">
        <f t="shared" si="21"/>
        <v>0</v>
      </c>
      <c r="EZ49" s="100">
        <f t="shared" si="21"/>
        <v>0</v>
      </c>
      <c r="FA49" s="100">
        <f t="shared" si="21"/>
        <v>0</v>
      </c>
      <c r="FB49" s="100">
        <f t="shared" si="21"/>
        <v>0</v>
      </c>
      <c r="FC49" s="100">
        <f t="shared" si="21"/>
        <v>0</v>
      </c>
      <c r="FD49" s="100">
        <f t="shared" si="21"/>
        <v>0</v>
      </c>
      <c r="FE49" s="101">
        <f t="shared" si="21"/>
        <v>0</v>
      </c>
    </row>
    <row r="50" spans="2:161" s="6" customFormat="1" ht="13.2">
      <c r="B50" s="79" t="s">
        <v>88</v>
      </c>
      <c r="C50" s="103" t="s">
        <v>89</v>
      </c>
      <c r="D50" s="81">
        <f>SUM(E50:AB50)</f>
        <v>75672.810000000012</v>
      </c>
      <c r="E50" s="82">
        <f t="shared" ref="E50:T52" si="22">SUM(AC50,AV50,BO50,CH50,DA50,DT50,EM50)</f>
        <v>1356.9</v>
      </c>
      <c r="F50" s="83">
        <f t="shared" si="22"/>
        <v>0</v>
      </c>
      <c r="G50" s="83">
        <f t="shared" si="22"/>
        <v>0</v>
      </c>
      <c r="H50" s="83">
        <f t="shared" si="22"/>
        <v>0</v>
      </c>
      <c r="I50" s="84">
        <f t="shared" si="22"/>
        <v>0</v>
      </c>
      <c r="J50" s="84">
        <f t="shared" si="22"/>
        <v>1064.81</v>
      </c>
      <c r="K50" s="84">
        <f t="shared" si="22"/>
        <v>0</v>
      </c>
      <c r="L50" s="84">
        <f t="shared" si="22"/>
        <v>0</v>
      </c>
      <c r="M50" s="84">
        <f t="shared" si="22"/>
        <v>0</v>
      </c>
      <c r="N50" s="84">
        <f t="shared" si="22"/>
        <v>73251.100000000006</v>
      </c>
      <c r="O50" s="84">
        <f t="shared" si="22"/>
        <v>0</v>
      </c>
      <c r="P50" s="84">
        <f t="shared" si="22"/>
        <v>0</v>
      </c>
      <c r="Q50" s="84">
        <f t="shared" si="22"/>
        <v>0</v>
      </c>
      <c r="R50" s="84">
        <f t="shared" si="22"/>
        <v>0</v>
      </c>
      <c r="S50" s="84">
        <f t="shared" si="22"/>
        <v>0</v>
      </c>
      <c r="T50" s="84">
        <f t="shared" si="22"/>
        <v>0</v>
      </c>
      <c r="U50" s="84">
        <f t="shared" ref="O50:V52" si="23">SUM(AS50,BL50,CE50,CX50,DQ50,EJ50,FC50)</f>
        <v>0</v>
      </c>
      <c r="V50" s="84">
        <f t="shared" si="23"/>
        <v>0</v>
      </c>
      <c r="W50" s="84">
        <f>SIS064_F_Vandenstechnol2Elektrosenergi5</f>
        <v>0</v>
      </c>
      <c r="X50" s="84">
        <f>SUM(SIS062_F_Vandenstechnol2Geriamojovande1,SIS063_F_Vandenstechnol2Geriamojovande1,SIS065_F_Vandenstechnol2Geriamojovande1)</f>
        <v>0</v>
      </c>
      <c r="Y50" s="84">
        <f>SUM(SIS062_F_Vandenstechnol2Paslaugaproduk8,SIS063_F_Vandenstechnol2Paslaugaproduk8,SIS065_F_Vandenstechnol2Paslaugaproduk8)</f>
        <v>0</v>
      </c>
      <c r="Z50" s="84">
        <f>SIS064_F_Vandenstechnol2Elektrosenergi6</f>
        <v>0</v>
      </c>
      <c r="AA50" s="84">
        <f>SUM(SIS062_F_Vandenstechnol2Konkurencinesi1,SIS063_F_Vandenstechnol2Konkurencinesi1,SIS065_F_Vandenstechnol2Konkurencinesi1,)</f>
        <v>0</v>
      </c>
      <c r="AB50" s="84">
        <f>SUM(SIS062_F_Vandenstechnol2Paslaugaproduk9,SIS063_F_Vandenstechnol2Paslaugaproduk9,SIS065_F_Vandenstechnol2Paslaugaproduk9)</f>
        <v>0</v>
      </c>
      <c r="AC50" s="85">
        <v>1356.9</v>
      </c>
      <c r="AD50" s="86">
        <v>0</v>
      </c>
      <c r="AE50" s="86">
        <v>0</v>
      </c>
      <c r="AF50" s="86">
        <v>0</v>
      </c>
      <c r="AG50" s="87">
        <v>0</v>
      </c>
      <c r="AH50" s="87">
        <v>1064.81</v>
      </c>
      <c r="AI50" s="87">
        <v>0</v>
      </c>
      <c r="AJ50" s="87">
        <v>0</v>
      </c>
      <c r="AK50" s="87">
        <v>0</v>
      </c>
      <c r="AL50" s="87">
        <v>73251.100000000006</v>
      </c>
      <c r="AM50" s="87"/>
      <c r="AN50" s="87"/>
      <c r="AO50" s="87"/>
      <c r="AP50" s="87"/>
      <c r="AQ50" s="87"/>
      <c r="AR50" s="87"/>
      <c r="AS50" s="87"/>
      <c r="AT50" s="87"/>
      <c r="AU50" s="88"/>
      <c r="AV50" s="85"/>
      <c r="AW50" s="86"/>
      <c r="AX50" s="86"/>
      <c r="AY50" s="86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8"/>
      <c r="BO50" s="85"/>
      <c r="BP50" s="86"/>
      <c r="BQ50" s="86"/>
      <c r="BR50" s="86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87"/>
      <c r="CE50" s="87"/>
      <c r="CF50" s="87"/>
      <c r="CG50" s="88"/>
      <c r="CH50" s="85"/>
      <c r="CI50" s="86"/>
      <c r="CJ50" s="86"/>
      <c r="CK50" s="86"/>
      <c r="CL50" s="87"/>
      <c r="CM50" s="87"/>
      <c r="CN50" s="87"/>
      <c r="CO50" s="87"/>
      <c r="CP50" s="87"/>
      <c r="CQ50" s="87"/>
      <c r="CR50" s="87"/>
      <c r="CS50" s="87"/>
      <c r="CT50" s="87"/>
      <c r="CU50" s="87"/>
      <c r="CV50" s="87"/>
      <c r="CW50" s="87"/>
      <c r="CX50" s="87"/>
      <c r="CY50" s="87"/>
      <c r="CZ50" s="88"/>
      <c r="DA50" s="85"/>
      <c r="DB50" s="86"/>
      <c r="DC50" s="86"/>
      <c r="DD50" s="86"/>
      <c r="DE50" s="87"/>
      <c r="DF50" s="87"/>
      <c r="DG50" s="87"/>
      <c r="DH50" s="87"/>
      <c r="DI50" s="87"/>
      <c r="DJ50" s="87"/>
      <c r="DK50" s="87"/>
      <c r="DL50" s="87"/>
      <c r="DM50" s="87"/>
      <c r="DN50" s="87"/>
      <c r="DO50" s="87"/>
      <c r="DP50" s="87"/>
      <c r="DQ50" s="87"/>
      <c r="DR50" s="87"/>
      <c r="DS50" s="88"/>
      <c r="DT50" s="85"/>
      <c r="DU50" s="86"/>
      <c r="DV50" s="86"/>
      <c r="DW50" s="86"/>
      <c r="DX50" s="87"/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7"/>
      <c r="EJ50" s="87"/>
      <c r="EK50" s="87"/>
      <c r="EL50" s="88"/>
      <c r="EM50" s="85"/>
      <c r="EN50" s="86"/>
      <c r="EO50" s="86"/>
      <c r="EP50" s="86"/>
      <c r="EQ50" s="87"/>
      <c r="ER50" s="87"/>
      <c r="ES50" s="87"/>
      <c r="ET50" s="87"/>
      <c r="EU50" s="87"/>
      <c r="EV50" s="87"/>
      <c r="EW50" s="87"/>
      <c r="EX50" s="87"/>
      <c r="EY50" s="87"/>
      <c r="EZ50" s="87"/>
      <c r="FA50" s="87"/>
      <c r="FB50" s="87"/>
      <c r="FC50" s="87"/>
      <c r="FD50" s="87"/>
      <c r="FE50" s="89"/>
    </row>
    <row r="51" spans="2:161" s="6" customFormat="1" ht="13.2" hidden="1">
      <c r="B51" s="79" t="s">
        <v>90</v>
      </c>
      <c r="C51" s="105" t="s">
        <v>91</v>
      </c>
      <c r="D51" s="81">
        <f>SUM(E51:AB51)</f>
        <v>0</v>
      </c>
      <c r="E51" s="82">
        <f t="shared" si="22"/>
        <v>0</v>
      </c>
      <c r="F51" s="83">
        <f t="shared" si="22"/>
        <v>0</v>
      </c>
      <c r="G51" s="83">
        <f t="shared" si="22"/>
        <v>0</v>
      </c>
      <c r="H51" s="83">
        <f t="shared" si="22"/>
        <v>0</v>
      </c>
      <c r="I51" s="84">
        <f t="shared" si="22"/>
        <v>0</v>
      </c>
      <c r="J51" s="84">
        <f t="shared" si="22"/>
        <v>0</v>
      </c>
      <c r="K51" s="84">
        <f t="shared" si="22"/>
        <v>0</v>
      </c>
      <c r="L51" s="84">
        <f t="shared" si="22"/>
        <v>0</v>
      </c>
      <c r="M51" s="84">
        <f t="shared" si="22"/>
        <v>0</v>
      </c>
      <c r="N51" s="84">
        <f t="shared" si="22"/>
        <v>0</v>
      </c>
      <c r="O51" s="84">
        <f t="shared" si="23"/>
        <v>0</v>
      </c>
      <c r="P51" s="84">
        <f t="shared" si="23"/>
        <v>0</v>
      </c>
      <c r="Q51" s="84">
        <f t="shared" si="23"/>
        <v>0</v>
      </c>
      <c r="R51" s="84">
        <f t="shared" si="23"/>
        <v>0</v>
      </c>
      <c r="S51" s="84">
        <f t="shared" si="23"/>
        <v>0</v>
      </c>
      <c r="T51" s="84">
        <f t="shared" si="23"/>
        <v>0</v>
      </c>
      <c r="U51" s="84">
        <f t="shared" si="23"/>
        <v>0</v>
      </c>
      <c r="V51" s="84">
        <f t="shared" si="23"/>
        <v>0</v>
      </c>
      <c r="W51" s="84">
        <f>SIS064_F_Nuotekutvarkym1Elektrosenergi5</f>
        <v>0</v>
      </c>
      <c r="X51" s="84">
        <f>SUM(SIS062_F_Nuotekutvarkym1Geriamojovande1,SIS063_F_Nuotekutvarkym1Geriamojovande1,SIS065_F_Nuotekutvarkym1Geriamojovande1)</f>
        <v>0</v>
      </c>
      <c r="Y51" s="84">
        <f>SUM(SIS062_F_Nuotekutvarkym1Paslaugaproduk8,SIS063_F_Nuotekutvarkym1Paslaugaproduk8,SIS065_F_Nuotekutvarkym1Paslaugaproduk8)</f>
        <v>0</v>
      </c>
      <c r="Z51" s="84">
        <f>SIS064_F_Nuotekutvarkym1Elektrosenergi6</f>
        <v>0</v>
      </c>
      <c r="AA51" s="84">
        <f>SUM(SIS062_F_Nuotekutvarkym1Konkurencinesi1,SIS063_F_Nuotekutvarkym1Konkurencinesi1,SIS065_F_Nuotekutvarkym1Konkurencinesi1,)</f>
        <v>0</v>
      </c>
      <c r="AB51" s="84">
        <f>SUM(SIS062_F_Nuotekutvarkym1Paslaugaproduk9,SIS063_F_Nuotekutvarkym1Paslaugaproduk9,SIS065_F_Nuotekutvarkym1Paslaugaproduk9)</f>
        <v>0</v>
      </c>
      <c r="AC51" s="85"/>
      <c r="AD51" s="86"/>
      <c r="AE51" s="86"/>
      <c r="AF51" s="86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8"/>
      <c r="AV51" s="85"/>
      <c r="AW51" s="86"/>
      <c r="AX51" s="86"/>
      <c r="AY51" s="86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8"/>
      <c r="BO51" s="85"/>
      <c r="BP51" s="86"/>
      <c r="BQ51" s="86"/>
      <c r="BR51" s="86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8"/>
      <c r="CH51" s="85"/>
      <c r="CI51" s="86"/>
      <c r="CJ51" s="86"/>
      <c r="CK51" s="86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8"/>
      <c r="DA51" s="85"/>
      <c r="DB51" s="86"/>
      <c r="DC51" s="86"/>
      <c r="DD51" s="86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8"/>
      <c r="DT51" s="85"/>
      <c r="DU51" s="86"/>
      <c r="DV51" s="86"/>
      <c r="DW51" s="86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8"/>
      <c r="EM51" s="85"/>
      <c r="EN51" s="86"/>
      <c r="EO51" s="86"/>
      <c r="EP51" s="86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  <c r="FD51" s="87"/>
      <c r="FE51" s="89"/>
    </row>
    <row r="52" spans="2:161" s="6" customFormat="1" ht="13.2" hidden="1">
      <c r="B52" s="79" t="s">
        <v>92</v>
      </c>
      <c r="C52" s="80" t="str">
        <f>SIS055_D_Kitossanaudoss4</f>
        <v>Kitos sąnaudos, susijusios su vandens TR įsigijimu (nurodyti)</v>
      </c>
      <c r="D52" s="81">
        <f>SUM(E52:AB52)</f>
        <v>0</v>
      </c>
      <c r="E52" s="82">
        <f t="shared" si="22"/>
        <v>0</v>
      </c>
      <c r="F52" s="83">
        <f t="shared" si="22"/>
        <v>0</v>
      </c>
      <c r="G52" s="83">
        <f t="shared" si="22"/>
        <v>0</v>
      </c>
      <c r="H52" s="83">
        <f t="shared" si="22"/>
        <v>0</v>
      </c>
      <c r="I52" s="84">
        <f t="shared" si="22"/>
        <v>0</v>
      </c>
      <c r="J52" s="84">
        <f t="shared" si="22"/>
        <v>0</v>
      </c>
      <c r="K52" s="84">
        <f t="shared" si="22"/>
        <v>0</v>
      </c>
      <c r="L52" s="84">
        <f t="shared" si="22"/>
        <v>0</v>
      </c>
      <c r="M52" s="84">
        <f t="shared" si="22"/>
        <v>0</v>
      </c>
      <c r="N52" s="84">
        <f t="shared" si="22"/>
        <v>0</v>
      </c>
      <c r="O52" s="84">
        <f t="shared" si="23"/>
        <v>0</v>
      </c>
      <c r="P52" s="84">
        <f t="shared" si="23"/>
        <v>0</v>
      </c>
      <c r="Q52" s="84">
        <f t="shared" si="23"/>
        <v>0</v>
      </c>
      <c r="R52" s="84">
        <f t="shared" si="23"/>
        <v>0</v>
      </c>
      <c r="S52" s="84">
        <f t="shared" si="23"/>
        <v>0</v>
      </c>
      <c r="T52" s="84">
        <f t="shared" si="23"/>
        <v>0</v>
      </c>
      <c r="U52" s="84">
        <f t="shared" si="23"/>
        <v>0</v>
      </c>
      <c r="V52" s="84">
        <f t="shared" si="23"/>
        <v>0</v>
      </c>
      <c r="W52" s="84">
        <f>SIS064_F_Kitossanaudoss4Elektrosenergi5</f>
        <v>0</v>
      </c>
      <c r="X52" s="84">
        <f>SUM(SIS062_F_Kitossanaudoss4Geriamojovande1,SIS063_F_Kitossanaudoss4Geriamojovande1,SIS065_F_Kitossanaudoss4Geriamojovande1)</f>
        <v>0</v>
      </c>
      <c r="Y52" s="84">
        <f>SUM(SIS062_F_Kitossanaudoss4Paslaugaproduk8,SIS063_F_Kitossanaudoss4Paslaugaproduk8,SIS065_F_Kitossanaudoss4Paslaugaproduk8)</f>
        <v>0</v>
      </c>
      <c r="Z52" s="84">
        <f>SIS064_F_Kitossanaudoss4Elektrosenergi6</f>
        <v>0</v>
      </c>
      <c r="AA52" s="84">
        <f>SUM(SIS062_F_Kitossanaudoss4Konkurencinesi1,SIS063_F_Kitossanaudoss4Konkurencinesi1,SIS065_F_Kitossanaudoss4Konkurencinesi1,)</f>
        <v>0</v>
      </c>
      <c r="AB52" s="84">
        <f>SUM(SIS062_F_Kitossanaudoss4Paslaugaproduk9,SIS063_F_Kitossanaudoss4Paslaugaproduk9,SIS065_F_Kitossanaudoss4Paslaugaproduk9)</f>
        <v>0</v>
      </c>
      <c r="AC52" s="85"/>
      <c r="AD52" s="86"/>
      <c r="AE52" s="86"/>
      <c r="AF52" s="86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8"/>
      <c r="AV52" s="85"/>
      <c r="AW52" s="86"/>
      <c r="AX52" s="86"/>
      <c r="AY52" s="86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8"/>
      <c r="BO52" s="85"/>
      <c r="BP52" s="86"/>
      <c r="BQ52" s="86"/>
      <c r="BR52" s="86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87"/>
      <c r="CE52" s="87"/>
      <c r="CF52" s="87"/>
      <c r="CG52" s="88"/>
      <c r="CH52" s="85"/>
      <c r="CI52" s="86"/>
      <c r="CJ52" s="86"/>
      <c r="CK52" s="86"/>
      <c r="CL52" s="87"/>
      <c r="CM52" s="87"/>
      <c r="CN52" s="87"/>
      <c r="CO52" s="87"/>
      <c r="CP52" s="87"/>
      <c r="CQ52" s="87"/>
      <c r="CR52" s="87"/>
      <c r="CS52" s="87"/>
      <c r="CT52" s="87"/>
      <c r="CU52" s="87"/>
      <c r="CV52" s="87"/>
      <c r="CW52" s="87"/>
      <c r="CX52" s="87"/>
      <c r="CY52" s="87"/>
      <c r="CZ52" s="88"/>
      <c r="DA52" s="85"/>
      <c r="DB52" s="86"/>
      <c r="DC52" s="86"/>
      <c r="DD52" s="86"/>
      <c r="DE52" s="87"/>
      <c r="DF52" s="87"/>
      <c r="DG52" s="87"/>
      <c r="DH52" s="87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8"/>
      <c r="DT52" s="85"/>
      <c r="DU52" s="86"/>
      <c r="DV52" s="86"/>
      <c r="DW52" s="86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8"/>
      <c r="EM52" s="85"/>
      <c r="EN52" s="86"/>
      <c r="EO52" s="86"/>
      <c r="EP52" s="86"/>
      <c r="EQ52" s="87"/>
      <c r="ER52" s="87"/>
      <c r="ES52" s="87"/>
      <c r="ET52" s="87"/>
      <c r="EU52" s="87"/>
      <c r="EV52" s="87"/>
      <c r="EW52" s="87"/>
      <c r="EX52" s="87"/>
      <c r="EY52" s="87"/>
      <c r="EZ52" s="87"/>
      <c r="FA52" s="87"/>
      <c r="FB52" s="87"/>
      <c r="FC52" s="87"/>
      <c r="FD52" s="87"/>
      <c r="FE52" s="89"/>
    </row>
    <row r="53" spans="2:161" s="6" customFormat="1" ht="13.2">
      <c r="B53" s="93" t="s">
        <v>93</v>
      </c>
      <c r="C53" s="94" t="s">
        <v>94</v>
      </c>
      <c r="D53" s="106">
        <f t="shared" ref="D53:BO53" si="24">SUM(D54:D56)</f>
        <v>0</v>
      </c>
      <c r="E53" s="95">
        <f t="shared" si="24"/>
        <v>0</v>
      </c>
      <c r="F53" s="96">
        <f t="shared" si="24"/>
        <v>0</v>
      </c>
      <c r="G53" s="96">
        <f t="shared" si="24"/>
        <v>0</v>
      </c>
      <c r="H53" s="96">
        <f t="shared" si="24"/>
        <v>0</v>
      </c>
      <c r="I53" s="97">
        <f t="shared" si="24"/>
        <v>0</v>
      </c>
      <c r="J53" s="97">
        <f t="shared" si="24"/>
        <v>0</v>
      </c>
      <c r="K53" s="97">
        <f t="shared" si="24"/>
        <v>0</v>
      </c>
      <c r="L53" s="97">
        <f t="shared" si="24"/>
        <v>0</v>
      </c>
      <c r="M53" s="97">
        <f t="shared" si="24"/>
        <v>0</v>
      </c>
      <c r="N53" s="97">
        <f t="shared" si="24"/>
        <v>0</v>
      </c>
      <c r="O53" s="97">
        <f t="shared" si="24"/>
        <v>0</v>
      </c>
      <c r="P53" s="97">
        <f t="shared" si="24"/>
        <v>0</v>
      </c>
      <c r="Q53" s="97">
        <f t="shared" si="24"/>
        <v>0</v>
      </c>
      <c r="R53" s="97">
        <f t="shared" si="24"/>
        <v>0</v>
      </c>
      <c r="S53" s="97">
        <f t="shared" si="24"/>
        <v>0</v>
      </c>
      <c r="T53" s="97">
        <f t="shared" si="24"/>
        <v>0</v>
      </c>
      <c r="U53" s="97">
        <f t="shared" si="24"/>
        <v>0</v>
      </c>
      <c r="V53" s="97">
        <f t="shared" si="24"/>
        <v>0</v>
      </c>
      <c r="W53" s="97">
        <f t="shared" si="24"/>
        <v>0</v>
      </c>
      <c r="X53" s="97">
        <f t="shared" si="24"/>
        <v>0</v>
      </c>
      <c r="Y53" s="97">
        <f t="shared" si="24"/>
        <v>0</v>
      </c>
      <c r="Z53" s="97">
        <f t="shared" si="24"/>
        <v>0</v>
      </c>
      <c r="AA53" s="97">
        <f t="shared" si="24"/>
        <v>0</v>
      </c>
      <c r="AB53" s="97">
        <f t="shared" si="24"/>
        <v>0</v>
      </c>
      <c r="AC53" s="98">
        <f t="shared" si="24"/>
        <v>0</v>
      </c>
      <c r="AD53" s="99">
        <f t="shared" si="24"/>
        <v>0</v>
      </c>
      <c r="AE53" s="99">
        <f t="shared" si="24"/>
        <v>0</v>
      </c>
      <c r="AF53" s="99">
        <f t="shared" si="24"/>
        <v>0</v>
      </c>
      <c r="AG53" s="100">
        <f t="shared" si="24"/>
        <v>0</v>
      </c>
      <c r="AH53" s="100">
        <f t="shared" si="24"/>
        <v>0</v>
      </c>
      <c r="AI53" s="100">
        <f t="shared" si="24"/>
        <v>0</v>
      </c>
      <c r="AJ53" s="100">
        <f t="shared" si="24"/>
        <v>0</v>
      </c>
      <c r="AK53" s="100">
        <f t="shared" si="24"/>
        <v>0</v>
      </c>
      <c r="AL53" s="100">
        <f t="shared" si="24"/>
        <v>0</v>
      </c>
      <c r="AM53" s="100">
        <f t="shared" si="24"/>
        <v>0</v>
      </c>
      <c r="AN53" s="100">
        <f t="shared" si="24"/>
        <v>0</v>
      </c>
      <c r="AO53" s="100">
        <f t="shared" si="24"/>
        <v>0</v>
      </c>
      <c r="AP53" s="100">
        <f t="shared" si="24"/>
        <v>0</v>
      </c>
      <c r="AQ53" s="100">
        <f t="shared" si="24"/>
        <v>0</v>
      </c>
      <c r="AR53" s="100">
        <f t="shared" si="24"/>
        <v>0</v>
      </c>
      <c r="AS53" s="100">
        <f t="shared" si="24"/>
        <v>0</v>
      </c>
      <c r="AT53" s="100">
        <f t="shared" si="24"/>
        <v>0</v>
      </c>
      <c r="AU53" s="97">
        <f t="shared" si="24"/>
        <v>0</v>
      </c>
      <c r="AV53" s="98">
        <f t="shared" si="24"/>
        <v>0</v>
      </c>
      <c r="AW53" s="99">
        <f t="shared" si="24"/>
        <v>0</v>
      </c>
      <c r="AX53" s="99">
        <f t="shared" si="24"/>
        <v>0</v>
      </c>
      <c r="AY53" s="99">
        <f t="shared" si="24"/>
        <v>0</v>
      </c>
      <c r="AZ53" s="100">
        <f t="shared" si="24"/>
        <v>0</v>
      </c>
      <c r="BA53" s="100">
        <f t="shared" si="24"/>
        <v>0</v>
      </c>
      <c r="BB53" s="100">
        <f t="shared" si="24"/>
        <v>0</v>
      </c>
      <c r="BC53" s="100">
        <f t="shared" si="24"/>
        <v>0</v>
      </c>
      <c r="BD53" s="100">
        <f t="shared" si="24"/>
        <v>0</v>
      </c>
      <c r="BE53" s="100">
        <f t="shared" si="24"/>
        <v>0</v>
      </c>
      <c r="BF53" s="100">
        <f t="shared" si="24"/>
        <v>0</v>
      </c>
      <c r="BG53" s="100">
        <f t="shared" si="24"/>
        <v>0</v>
      </c>
      <c r="BH53" s="100">
        <f t="shared" si="24"/>
        <v>0</v>
      </c>
      <c r="BI53" s="100">
        <f t="shared" si="24"/>
        <v>0</v>
      </c>
      <c r="BJ53" s="100">
        <f t="shared" si="24"/>
        <v>0</v>
      </c>
      <c r="BK53" s="100">
        <f t="shared" si="24"/>
        <v>0</v>
      </c>
      <c r="BL53" s="100">
        <f t="shared" si="24"/>
        <v>0</v>
      </c>
      <c r="BM53" s="100">
        <f t="shared" si="24"/>
        <v>0</v>
      </c>
      <c r="BN53" s="97">
        <f t="shared" si="24"/>
        <v>0</v>
      </c>
      <c r="BO53" s="98">
        <f t="shared" si="24"/>
        <v>0</v>
      </c>
      <c r="BP53" s="99">
        <f t="shared" ref="BP53:EA53" si="25">SUM(BP54:BP56)</f>
        <v>0</v>
      </c>
      <c r="BQ53" s="99">
        <f t="shared" si="25"/>
        <v>0</v>
      </c>
      <c r="BR53" s="99">
        <f t="shared" si="25"/>
        <v>0</v>
      </c>
      <c r="BS53" s="100">
        <f t="shared" si="25"/>
        <v>0</v>
      </c>
      <c r="BT53" s="100">
        <f t="shared" si="25"/>
        <v>0</v>
      </c>
      <c r="BU53" s="100">
        <f t="shared" si="25"/>
        <v>0</v>
      </c>
      <c r="BV53" s="100">
        <f t="shared" si="25"/>
        <v>0</v>
      </c>
      <c r="BW53" s="100">
        <f t="shared" si="25"/>
        <v>0</v>
      </c>
      <c r="BX53" s="100">
        <f t="shared" si="25"/>
        <v>0</v>
      </c>
      <c r="BY53" s="100">
        <f t="shared" si="25"/>
        <v>0</v>
      </c>
      <c r="BZ53" s="100">
        <f t="shared" si="25"/>
        <v>0</v>
      </c>
      <c r="CA53" s="100">
        <f t="shared" si="25"/>
        <v>0</v>
      </c>
      <c r="CB53" s="100">
        <f t="shared" si="25"/>
        <v>0</v>
      </c>
      <c r="CC53" s="100">
        <f t="shared" si="25"/>
        <v>0</v>
      </c>
      <c r="CD53" s="100">
        <f t="shared" si="25"/>
        <v>0</v>
      </c>
      <c r="CE53" s="100">
        <f t="shared" si="25"/>
        <v>0</v>
      </c>
      <c r="CF53" s="100">
        <f t="shared" si="25"/>
        <v>0</v>
      </c>
      <c r="CG53" s="97">
        <f t="shared" si="25"/>
        <v>0</v>
      </c>
      <c r="CH53" s="98">
        <f t="shared" si="25"/>
        <v>0</v>
      </c>
      <c r="CI53" s="99">
        <f t="shared" si="25"/>
        <v>0</v>
      </c>
      <c r="CJ53" s="99">
        <f t="shared" si="25"/>
        <v>0</v>
      </c>
      <c r="CK53" s="99">
        <f t="shared" si="25"/>
        <v>0</v>
      </c>
      <c r="CL53" s="100">
        <f t="shared" si="25"/>
        <v>0</v>
      </c>
      <c r="CM53" s="100">
        <f t="shared" si="25"/>
        <v>0</v>
      </c>
      <c r="CN53" s="100">
        <f t="shared" si="25"/>
        <v>0</v>
      </c>
      <c r="CO53" s="100">
        <f t="shared" si="25"/>
        <v>0</v>
      </c>
      <c r="CP53" s="100">
        <f t="shared" si="25"/>
        <v>0</v>
      </c>
      <c r="CQ53" s="100">
        <f t="shared" si="25"/>
        <v>0</v>
      </c>
      <c r="CR53" s="100">
        <f t="shared" si="25"/>
        <v>0</v>
      </c>
      <c r="CS53" s="100">
        <f t="shared" si="25"/>
        <v>0</v>
      </c>
      <c r="CT53" s="100">
        <f t="shared" si="25"/>
        <v>0</v>
      </c>
      <c r="CU53" s="100">
        <f t="shared" si="25"/>
        <v>0</v>
      </c>
      <c r="CV53" s="100">
        <f t="shared" si="25"/>
        <v>0</v>
      </c>
      <c r="CW53" s="100">
        <f t="shared" si="25"/>
        <v>0</v>
      </c>
      <c r="CX53" s="100">
        <f t="shared" si="25"/>
        <v>0</v>
      </c>
      <c r="CY53" s="100">
        <f t="shared" si="25"/>
        <v>0</v>
      </c>
      <c r="CZ53" s="97">
        <f t="shared" si="25"/>
        <v>0</v>
      </c>
      <c r="DA53" s="98">
        <f t="shared" si="25"/>
        <v>0</v>
      </c>
      <c r="DB53" s="99">
        <f t="shared" si="25"/>
        <v>0</v>
      </c>
      <c r="DC53" s="99">
        <f t="shared" si="25"/>
        <v>0</v>
      </c>
      <c r="DD53" s="99">
        <f t="shared" si="25"/>
        <v>0</v>
      </c>
      <c r="DE53" s="100">
        <f t="shared" si="25"/>
        <v>0</v>
      </c>
      <c r="DF53" s="100">
        <f t="shared" si="25"/>
        <v>0</v>
      </c>
      <c r="DG53" s="100">
        <f t="shared" si="25"/>
        <v>0</v>
      </c>
      <c r="DH53" s="100">
        <f t="shared" si="25"/>
        <v>0</v>
      </c>
      <c r="DI53" s="100">
        <f t="shared" si="25"/>
        <v>0</v>
      </c>
      <c r="DJ53" s="100">
        <f t="shared" si="25"/>
        <v>0</v>
      </c>
      <c r="DK53" s="100">
        <f t="shared" si="25"/>
        <v>0</v>
      </c>
      <c r="DL53" s="100">
        <f t="shared" si="25"/>
        <v>0</v>
      </c>
      <c r="DM53" s="100">
        <f t="shared" si="25"/>
        <v>0</v>
      </c>
      <c r="DN53" s="100">
        <f t="shared" si="25"/>
        <v>0</v>
      </c>
      <c r="DO53" s="100">
        <f t="shared" si="25"/>
        <v>0</v>
      </c>
      <c r="DP53" s="100">
        <f t="shared" si="25"/>
        <v>0</v>
      </c>
      <c r="DQ53" s="100">
        <f t="shared" si="25"/>
        <v>0</v>
      </c>
      <c r="DR53" s="100">
        <f t="shared" si="25"/>
        <v>0</v>
      </c>
      <c r="DS53" s="97">
        <f t="shared" si="25"/>
        <v>0</v>
      </c>
      <c r="DT53" s="98">
        <f t="shared" si="25"/>
        <v>0</v>
      </c>
      <c r="DU53" s="99">
        <f t="shared" si="25"/>
        <v>0</v>
      </c>
      <c r="DV53" s="99">
        <f t="shared" si="25"/>
        <v>0</v>
      </c>
      <c r="DW53" s="99">
        <f t="shared" si="25"/>
        <v>0</v>
      </c>
      <c r="DX53" s="100">
        <f t="shared" si="25"/>
        <v>0</v>
      </c>
      <c r="DY53" s="100">
        <f t="shared" si="25"/>
        <v>0</v>
      </c>
      <c r="DZ53" s="100">
        <f t="shared" si="25"/>
        <v>0</v>
      </c>
      <c r="EA53" s="100">
        <f t="shared" si="25"/>
        <v>0</v>
      </c>
      <c r="EB53" s="100">
        <f t="shared" ref="EB53:GP53" si="26">SUM(EB54:EB56)</f>
        <v>0</v>
      </c>
      <c r="EC53" s="100">
        <f t="shared" si="26"/>
        <v>0</v>
      </c>
      <c r="ED53" s="100">
        <f t="shared" si="26"/>
        <v>0</v>
      </c>
      <c r="EE53" s="100">
        <f t="shared" si="26"/>
        <v>0</v>
      </c>
      <c r="EF53" s="100">
        <f t="shared" si="26"/>
        <v>0</v>
      </c>
      <c r="EG53" s="100">
        <f t="shared" si="26"/>
        <v>0</v>
      </c>
      <c r="EH53" s="100">
        <f t="shared" si="26"/>
        <v>0</v>
      </c>
      <c r="EI53" s="100">
        <f t="shared" si="26"/>
        <v>0</v>
      </c>
      <c r="EJ53" s="100">
        <f t="shared" si="26"/>
        <v>0</v>
      </c>
      <c r="EK53" s="100">
        <f t="shared" si="26"/>
        <v>0</v>
      </c>
      <c r="EL53" s="97">
        <f t="shared" si="26"/>
        <v>0</v>
      </c>
      <c r="EM53" s="98">
        <f t="shared" si="26"/>
        <v>0</v>
      </c>
      <c r="EN53" s="99">
        <f t="shared" si="26"/>
        <v>0</v>
      </c>
      <c r="EO53" s="99">
        <f t="shared" si="26"/>
        <v>0</v>
      </c>
      <c r="EP53" s="99">
        <f t="shared" si="26"/>
        <v>0</v>
      </c>
      <c r="EQ53" s="100">
        <f t="shared" si="26"/>
        <v>0</v>
      </c>
      <c r="ER53" s="100">
        <f t="shared" si="26"/>
        <v>0</v>
      </c>
      <c r="ES53" s="100">
        <f t="shared" si="26"/>
        <v>0</v>
      </c>
      <c r="ET53" s="100">
        <f t="shared" si="26"/>
        <v>0</v>
      </c>
      <c r="EU53" s="100">
        <f t="shared" si="26"/>
        <v>0</v>
      </c>
      <c r="EV53" s="100">
        <f t="shared" si="26"/>
        <v>0</v>
      </c>
      <c r="EW53" s="100">
        <f t="shared" si="26"/>
        <v>0</v>
      </c>
      <c r="EX53" s="100">
        <f t="shared" si="26"/>
        <v>0</v>
      </c>
      <c r="EY53" s="100">
        <f t="shared" si="26"/>
        <v>0</v>
      </c>
      <c r="EZ53" s="100">
        <f t="shared" si="26"/>
        <v>0</v>
      </c>
      <c r="FA53" s="100">
        <f t="shared" si="26"/>
        <v>0</v>
      </c>
      <c r="FB53" s="100">
        <f t="shared" si="26"/>
        <v>0</v>
      </c>
      <c r="FC53" s="100">
        <f t="shared" si="26"/>
        <v>0</v>
      </c>
      <c r="FD53" s="100">
        <f t="shared" si="26"/>
        <v>0</v>
      </c>
      <c r="FE53" s="101">
        <f t="shared" si="26"/>
        <v>0</v>
      </c>
    </row>
    <row r="54" spans="2:161" s="6" customFormat="1" ht="13.2" hidden="1">
      <c r="B54" s="79" t="s">
        <v>95</v>
      </c>
      <c r="C54" s="80" t="s">
        <v>96</v>
      </c>
      <c r="D54" s="81">
        <f>SUM(E54:AB54)</f>
        <v>0</v>
      </c>
      <c r="E54" s="82">
        <f t="shared" ref="E54:T56" si="27">SUM(AC54,AV54,BO54,CH54,DA54,DT54,EM54)</f>
        <v>0</v>
      </c>
      <c r="F54" s="83">
        <f t="shared" si="27"/>
        <v>0</v>
      </c>
      <c r="G54" s="83">
        <f t="shared" si="27"/>
        <v>0</v>
      </c>
      <c r="H54" s="83">
        <f t="shared" si="27"/>
        <v>0</v>
      </c>
      <c r="I54" s="84">
        <f t="shared" si="27"/>
        <v>0</v>
      </c>
      <c r="J54" s="84">
        <f t="shared" si="27"/>
        <v>0</v>
      </c>
      <c r="K54" s="84">
        <f t="shared" si="27"/>
        <v>0</v>
      </c>
      <c r="L54" s="84">
        <f t="shared" si="27"/>
        <v>0</v>
      </c>
      <c r="M54" s="84">
        <f t="shared" si="27"/>
        <v>0</v>
      </c>
      <c r="N54" s="84">
        <f t="shared" si="27"/>
        <v>0</v>
      </c>
      <c r="O54" s="84">
        <f t="shared" si="27"/>
        <v>0</v>
      </c>
      <c r="P54" s="84">
        <f t="shared" si="27"/>
        <v>0</v>
      </c>
      <c r="Q54" s="84">
        <f t="shared" si="27"/>
        <v>0</v>
      </c>
      <c r="R54" s="84">
        <f t="shared" si="27"/>
        <v>0</v>
      </c>
      <c r="S54" s="84">
        <f t="shared" si="27"/>
        <v>0</v>
      </c>
      <c r="T54" s="84">
        <f t="shared" si="27"/>
        <v>0</v>
      </c>
      <c r="U54" s="84">
        <f t="shared" ref="O54:V56" si="28">SUM(AS54,BL54,CE54,CX54,DQ54,EJ54,FC54)</f>
        <v>0</v>
      </c>
      <c r="V54" s="84">
        <f t="shared" si="28"/>
        <v>0</v>
      </c>
      <c r="W54" s="84">
        <f>SIS064_F_Apyvartiniutar2Elektrosenergi5</f>
        <v>0</v>
      </c>
      <c r="X54" s="84">
        <f>SUM(SIS062_F_Apyvartiniutar2Geriamojovande1,SIS063_F_Apyvartiniutar2Geriamojovande1,SIS065_F_Apyvartiniutar2Geriamojovande1)</f>
        <v>0</v>
      </c>
      <c r="Y54" s="84">
        <f>SUM(SIS062_F_Apyvartiniutar2Paslaugaproduk8,SIS063_F_Apyvartiniutar2Paslaugaproduk8,SIS065_F_Apyvartiniutar2Paslaugaproduk8)</f>
        <v>0</v>
      </c>
      <c r="Z54" s="84">
        <f>SIS064_F_Apyvartiniutar2Elektrosenergi6</f>
        <v>0</v>
      </c>
      <c r="AA54" s="84">
        <f>SUM(SIS062_F_Apyvartiniutar2Konkurencinesi1,SIS063_F_Apyvartiniutar2Konkurencinesi1,SIS065_F_Apyvartiniutar2Konkurencinesi1,)</f>
        <v>0</v>
      </c>
      <c r="AB54" s="84">
        <f>SUM(SIS062_F_Apyvartiniutar2Paslaugaproduk9,SIS063_F_Apyvartiniutar2Paslaugaproduk9,SIS065_F_Apyvartiniutar2Paslaugaproduk9)</f>
        <v>0</v>
      </c>
      <c r="AC54" s="85"/>
      <c r="AD54" s="86"/>
      <c r="AE54" s="86"/>
      <c r="AF54" s="86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8"/>
      <c r="AV54" s="85"/>
      <c r="AW54" s="86"/>
      <c r="AX54" s="86"/>
      <c r="AY54" s="86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8"/>
      <c r="BO54" s="85"/>
      <c r="BP54" s="86"/>
      <c r="BQ54" s="86"/>
      <c r="BR54" s="86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8"/>
      <c r="CH54" s="85"/>
      <c r="CI54" s="86"/>
      <c r="CJ54" s="86"/>
      <c r="CK54" s="86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87"/>
      <c r="CX54" s="87"/>
      <c r="CY54" s="87"/>
      <c r="CZ54" s="88"/>
      <c r="DA54" s="85"/>
      <c r="DB54" s="86"/>
      <c r="DC54" s="86"/>
      <c r="DD54" s="86"/>
      <c r="DE54" s="87"/>
      <c r="DF54" s="87"/>
      <c r="DG54" s="87"/>
      <c r="DH54" s="87"/>
      <c r="DI54" s="87"/>
      <c r="DJ54" s="87"/>
      <c r="DK54" s="87"/>
      <c r="DL54" s="87"/>
      <c r="DM54" s="87"/>
      <c r="DN54" s="87"/>
      <c r="DO54" s="87"/>
      <c r="DP54" s="87"/>
      <c r="DQ54" s="87"/>
      <c r="DR54" s="87"/>
      <c r="DS54" s="88"/>
      <c r="DT54" s="85"/>
      <c r="DU54" s="86"/>
      <c r="DV54" s="86"/>
      <c r="DW54" s="86"/>
      <c r="DX54" s="87"/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7"/>
      <c r="EJ54" s="87"/>
      <c r="EK54" s="87"/>
      <c r="EL54" s="88"/>
      <c r="EM54" s="85"/>
      <c r="EN54" s="86"/>
      <c r="EO54" s="86"/>
      <c r="EP54" s="86"/>
      <c r="EQ54" s="87"/>
      <c r="ER54" s="87"/>
      <c r="ES54" s="87"/>
      <c r="ET54" s="87"/>
      <c r="EU54" s="87"/>
      <c r="EV54" s="87"/>
      <c r="EW54" s="87"/>
      <c r="EX54" s="87"/>
      <c r="EY54" s="87"/>
      <c r="EZ54" s="87"/>
      <c r="FA54" s="87"/>
      <c r="FB54" s="87"/>
      <c r="FC54" s="87"/>
      <c r="FD54" s="87"/>
      <c r="FE54" s="89"/>
    </row>
    <row r="55" spans="2:161" s="6" customFormat="1" ht="13.2" hidden="1">
      <c r="B55" s="79" t="s">
        <v>97</v>
      </c>
      <c r="C55" s="80" t="str">
        <f>SIS055_D_Kitossanaudoss5</f>
        <v>Kitos sąnaudos, susijusios su ATL įsigijimu (nurodyti)</v>
      </c>
      <c r="D55" s="81">
        <f>SUM(E55:AB55)</f>
        <v>0</v>
      </c>
      <c r="E55" s="82">
        <f t="shared" si="27"/>
        <v>0</v>
      </c>
      <c r="F55" s="83">
        <f t="shared" si="27"/>
        <v>0</v>
      </c>
      <c r="G55" s="83">
        <f t="shared" si="27"/>
        <v>0</v>
      </c>
      <c r="H55" s="83">
        <f t="shared" si="27"/>
        <v>0</v>
      </c>
      <c r="I55" s="84">
        <f t="shared" si="27"/>
        <v>0</v>
      </c>
      <c r="J55" s="84">
        <f t="shared" si="27"/>
        <v>0</v>
      </c>
      <c r="K55" s="84">
        <f t="shared" si="27"/>
        <v>0</v>
      </c>
      <c r="L55" s="84">
        <f t="shared" si="27"/>
        <v>0</v>
      </c>
      <c r="M55" s="84">
        <f t="shared" si="27"/>
        <v>0</v>
      </c>
      <c r="N55" s="84">
        <f t="shared" si="27"/>
        <v>0</v>
      </c>
      <c r="O55" s="84">
        <f t="shared" si="28"/>
        <v>0</v>
      </c>
      <c r="P55" s="84">
        <f t="shared" si="28"/>
        <v>0</v>
      </c>
      <c r="Q55" s="84">
        <f t="shared" si="28"/>
        <v>0</v>
      </c>
      <c r="R55" s="84">
        <f t="shared" si="28"/>
        <v>0</v>
      </c>
      <c r="S55" s="84">
        <f t="shared" si="28"/>
        <v>0</v>
      </c>
      <c r="T55" s="84">
        <f t="shared" si="28"/>
        <v>0</v>
      </c>
      <c r="U55" s="84">
        <f t="shared" si="28"/>
        <v>0</v>
      </c>
      <c r="V55" s="84">
        <f t="shared" si="28"/>
        <v>0</v>
      </c>
      <c r="W55" s="84">
        <f>SIS064_F_Kitossanaudoss5Elektrosenergi5</f>
        <v>0</v>
      </c>
      <c r="X55" s="84">
        <f>SUM(SIS062_F_Kitossanaudoss5Geriamojovande1,SIS063_F_Kitossanaudoss5Geriamojovande1,SIS065_F_Kitossanaudoss5Geriamojovande1)</f>
        <v>0</v>
      </c>
      <c r="Y55" s="84">
        <f>SUM(SIS062_F_Kitossanaudoss5Paslaugaproduk8,SIS063_F_Kitossanaudoss5Paslaugaproduk8,SIS065_F_Kitossanaudoss5Paslaugaproduk8)</f>
        <v>0</v>
      </c>
      <c r="Z55" s="84">
        <f>SIS064_F_Kitossanaudoss5Elektrosenergi6</f>
        <v>0</v>
      </c>
      <c r="AA55" s="84">
        <f>SUM(SIS062_F_Kitossanaudoss5Konkurencinesi1,SIS063_F_Kitossanaudoss5Konkurencinesi1,SIS065_F_Kitossanaudoss5Konkurencinesi1,)</f>
        <v>0</v>
      </c>
      <c r="AB55" s="84">
        <f>SUM(SIS062_F_Kitossanaudoss5Paslaugaproduk9,SIS063_F_Kitossanaudoss5Paslaugaproduk9,SIS065_F_Kitossanaudoss5Paslaugaproduk9)</f>
        <v>0</v>
      </c>
      <c r="AC55" s="85"/>
      <c r="AD55" s="86"/>
      <c r="AE55" s="86"/>
      <c r="AF55" s="86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8"/>
      <c r="AV55" s="85"/>
      <c r="AW55" s="86"/>
      <c r="AX55" s="86"/>
      <c r="AY55" s="86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8"/>
      <c r="BO55" s="85"/>
      <c r="BP55" s="86"/>
      <c r="BQ55" s="86"/>
      <c r="BR55" s="86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8"/>
      <c r="CH55" s="85"/>
      <c r="CI55" s="86"/>
      <c r="CJ55" s="86"/>
      <c r="CK55" s="86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8"/>
      <c r="DA55" s="85"/>
      <c r="DB55" s="86"/>
      <c r="DC55" s="86"/>
      <c r="DD55" s="86"/>
      <c r="DE55" s="87"/>
      <c r="DF55" s="87"/>
      <c r="DG55" s="87"/>
      <c r="DH55" s="87"/>
      <c r="DI55" s="87"/>
      <c r="DJ55" s="87"/>
      <c r="DK55" s="87"/>
      <c r="DL55" s="87"/>
      <c r="DM55" s="87"/>
      <c r="DN55" s="87"/>
      <c r="DO55" s="87"/>
      <c r="DP55" s="87"/>
      <c r="DQ55" s="87"/>
      <c r="DR55" s="87"/>
      <c r="DS55" s="88"/>
      <c r="DT55" s="85"/>
      <c r="DU55" s="86"/>
      <c r="DV55" s="86"/>
      <c r="DW55" s="86"/>
      <c r="DX55" s="87"/>
      <c r="DY55" s="87"/>
      <c r="DZ55" s="87"/>
      <c r="EA55" s="87"/>
      <c r="EB55" s="87"/>
      <c r="EC55" s="87"/>
      <c r="ED55" s="87"/>
      <c r="EE55" s="87"/>
      <c r="EF55" s="87"/>
      <c r="EG55" s="87"/>
      <c r="EH55" s="87"/>
      <c r="EI55" s="87"/>
      <c r="EJ55" s="87"/>
      <c r="EK55" s="87"/>
      <c r="EL55" s="88"/>
      <c r="EM55" s="85"/>
      <c r="EN55" s="86"/>
      <c r="EO55" s="86"/>
      <c r="EP55" s="86"/>
      <c r="EQ55" s="87"/>
      <c r="ER55" s="87"/>
      <c r="ES55" s="87"/>
      <c r="ET55" s="87"/>
      <c r="EU55" s="87"/>
      <c r="EV55" s="87"/>
      <c r="EW55" s="87"/>
      <c r="EX55" s="87"/>
      <c r="EY55" s="87"/>
      <c r="EZ55" s="87"/>
      <c r="FA55" s="87"/>
      <c r="FB55" s="87"/>
      <c r="FC55" s="87"/>
      <c r="FD55" s="87"/>
      <c r="FE55" s="89"/>
    </row>
    <row r="56" spans="2:161" s="6" customFormat="1" ht="13.2" hidden="1">
      <c r="B56" s="79" t="s">
        <v>98</v>
      </c>
      <c r="C56" s="80" t="str">
        <f>SIS055_D_Kitossanaudoss6</f>
        <v>Kitos sąnaudos, susijusios su ATL įsigijimu (nurodyti)</v>
      </c>
      <c r="D56" s="81">
        <f>SUM(E56:AB56)</f>
        <v>0</v>
      </c>
      <c r="E56" s="82">
        <f t="shared" si="27"/>
        <v>0</v>
      </c>
      <c r="F56" s="83">
        <f t="shared" si="27"/>
        <v>0</v>
      </c>
      <c r="G56" s="83">
        <f t="shared" si="27"/>
        <v>0</v>
      </c>
      <c r="H56" s="83">
        <f t="shared" si="27"/>
        <v>0</v>
      </c>
      <c r="I56" s="84">
        <f t="shared" si="27"/>
        <v>0</v>
      </c>
      <c r="J56" s="84">
        <f t="shared" si="27"/>
        <v>0</v>
      </c>
      <c r="K56" s="84">
        <f t="shared" si="27"/>
        <v>0</v>
      </c>
      <c r="L56" s="84">
        <f t="shared" si="27"/>
        <v>0</v>
      </c>
      <c r="M56" s="84">
        <f t="shared" si="27"/>
        <v>0</v>
      </c>
      <c r="N56" s="84">
        <f t="shared" si="27"/>
        <v>0</v>
      </c>
      <c r="O56" s="84">
        <f t="shared" si="28"/>
        <v>0</v>
      </c>
      <c r="P56" s="84">
        <f t="shared" si="28"/>
        <v>0</v>
      </c>
      <c r="Q56" s="84">
        <f t="shared" si="28"/>
        <v>0</v>
      </c>
      <c r="R56" s="84">
        <f t="shared" si="28"/>
        <v>0</v>
      </c>
      <c r="S56" s="84">
        <f t="shared" si="28"/>
        <v>0</v>
      </c>
      <c r="T56" s="84">
        <f t="shared" si="28"/>
        <v>0</v>
      </c>
      <c r="U56" s="84">
        <f t="shared" si="28"/>
        <v>0</v>
      </c>
      <c r="V56" s="84">
        <f t="shared" si="28"/>
        <v>0</v>
      </c>
      <c r="W56" s="84">
        <f>SIS064_F_Kitossanaudoss6Elektrosenergi5</f>
        <v>0</v>
      </c>
      <c r="X56" s="84">
        <f>SUM(SIS062_F_Kitossanaudoss6Geriamojovande1,SIS063_F_Kitossanaudoss6Geriamojovande1,SIS065_F_Kitossanaudoss6Geriamojovande1)</f>
        <v>0</v>
      </c>
      <c r="Y56" s="84">
        <f>SUM(SIS062_F_Kitossanaudoss6Paslaugaproduk8,SIS063_F_Kitossanaudoss6Paslaugaproduk8,SIS065_F_Kitossanaudoss6Paslaugaproduk8)</f>
        <v>0</v>
      </c>
      <c r="Z56" s="84">
        <f>SIS064_F_Kitossanaudoss6Elektrosenergi6</f>
        <v>0</v>
      </c>
      <c r="AA56" s="84">
        <f>SUM(SIS062_F_Kitossanaudoss6Konkurencinesi1,SIS063_F_Kitossanaudoss6Konkurencinesi1,SIS065_F_Kitossanaudoss6Konkurencinesi1,)</f>
        <v>0</v>
      </c>
      <c r="AB56" s="84">
        <f>SUM(SIS062_F_Kitossanaudoss6Paslaugaproduk9,SIS063_F_Kitossanaudoss6Paslaugaproduk9,SIS065_F_Kitossanaudoss6Paslaugaproduk9)</f>
        <v>0</v>
      </c>
      <c r="AC56" s="85"/>
      <c r="AD56" s="86"/>
      <c r="AE56" s="86"/>
      <c r="AF56" s="86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8"/>
      <c r="AV56" s="85"/>
      <c r="AW56" s="86"/>
      <c r="AX56" s="86"/>
      <c r="AY56" s="86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8"/>
      <c r="BO56" s="85"/>
      <c r="BP56" s="86"/>
      <c r="BQ56" s="86"/>
      <c r="BR56" s="86"/>
      <c r="BS56" s="87"/>
      <c r="BT56" s="87"/>
      <c r="BU56" s="87"/>
      <c r="BV56" s="87"/>
      <c r="BW56" s="87"/>
      <c r="BX56" s="87"/>
      <c r="BY56" s="87"/>
      <c r="BZ56" s="87"/>
      <c r="CA56" s="87"/>
      <c r="CB56" s="87"/>
      <c r="CC56" s="87"/>
      <c r="CD56" s="87"/>
      <c r="CE56" s="87"/>
      <c r="CF56" s="87"/>
      <c r="CG56" s="88"/>
      <c r="CH56" s="85"/>
      <c r="CI56" s="86"/>
      <c r="CJ56" s="86"/>
      <c r="CK56" s="86"/>
      <c r="CL56" s="87"/>
      <c r="CM56" s="87"/>
      <c r="CN56" s="87"/>
      <c r="CO56" s="87"/>
      <c r="CP56" s="87"/>
      <c r="CQ56" s="87"/>
      <c r="CR56" s="87"/>
      <c r="CS56" s="87"/>
      <c r="CT56" s="87"/>
      <c r="CU56" s="87"/>
      <c r="CV56" s="87"/>
      <c r="CW56" s="87"/>
      <c r="CX56" s="87"/>
      <c r="CY56" s="87"/>
      <c r="CZ56" s="88"/>
      <c r="DA56" s="85"/>
      <c r="DB56" s="86"/>
      <c r="DC56" s="86"/>
      <c r="DD56" s="86"/>
      <c r="DE56" s="87"/>
      <c r="DF56" s="87"/>
      <c r="DG56" s="87"/>
      <c r="DH56" s="87"/>
      <c r="DI56" s="87"/>
      <c r="DJ56" s="87"/>
      <c r="DK56" s="87"/>
      <c r="DL56" s="87"/>
      <c r="DM56" s="87"/>
      <c r="DN56" s="87"/>
      <c r="DO56" s="87"/>
      <c r="DP56" s="87"/>
      <c r="DQ56" s="87"/>
      <c r="DR56" s="87"/>
      <c r="DS56" s="88"/>
      <c r="DT56" s="85"/>
      <c r="DU56" s="86"/>
      <c r="DV56" s="86"/>
      <c r="DW56" s="86"/>
      <c r="DX56" s="87"/>
      <c r="DY56" s="87"/>
      <c r="DZ56" s="87"/>
      <c r="EA56" s="87"/>
      <c r="EB56" s="87"/>
      <c r="EC56" s="87"/>
      <c r="ED56" s="87"/>
      <c r="EE56" s="87"/>
      <c r="EF56" s="87"/>
      <c r="EG56" s="87"/>
      <c r="EH56" s="87"/>
      <c r="EI56" s="87"/>
      <c r="EJ56" s="87"/>
      <c r="EK56" s="87"/>
      <c r="EL56" s="88"/>
      <c r="EM56" s="85"/>
      <c r="EN56" s="86"/>
      <c r="EO56" s="86"/>
      <c r="EP56" s="86"/>
      <c r="EQ56" s="87"/>
      <c r="ER56" s="87"/>
      <c r="ES56" s="87"/>
      <c r="ET56" s="87"/>
      <c r="EU56" s="87"/>
      <c r="EV56" s="87"/>
      <c r="EW56" s="87"/>
      <c r="EX56" s="87"/>
      <c r="EY56" s="87"/>
      <c r="EZ56" s="87"/>
      <c r="FA56" s="87"/>
      <c r="FB56" s="87"/>
      <c r="FC56" s="87"/>
      <c r="FD56" s="87"/>
      <c r="FE56" s="89"/>
    </row>
    <row r="57" spans="2:161" s="6" customFormat="1" ht="13.2">
      <c r="B57" s="107" t="s">
        <v>99</v>
      </c>
      <c r="C57" s="104" t="s">
        <v>100</v>
      </c>
      <c r="D57" s="81">
        <f t="shared" ref="D57:BO57" si="29">SUM(D58:D64)</f>
        <v>11662.21</v>
      </c>
      <c r="E57" s="95">
        <f t="shared" si="29"/>
        <v>11662.21</v>
      </c>
      <c r="F57" s="96">
        <f t="shared" si="29"/>
        <v>0</v>
      </c>
      <c r="G57" s="96">
        <f t="shared" si="29"/>
        <v>0</v>
      </c>
      <c r="H57" s="96">
        <f t="shared" si="29"/>
        <v>0</v>
      </c>
      <c r="I57" s="97">
        <f t="shared" si="29"/>
        <v>0</v>
      </c>
      <c r="J57" s="97">
        <f t="shared" si="29"/>
        <v>0</v>
      </c>
      <c r="K57" s="97">
        <f t="shared" si="29"/>
        <v>0</v>
      </c>
      <c r="L57" s="97">
        <f t="shared" si="29"/>
        <v>0</v>
      </c>
      <c r="M57" s="97">
        <f t="shared" si="29"/>
        <v>0</v>
      </c>
      <c r="N57" s="97">
        <f t="shared" si="29"/>
        <v>0</v>
      </c>
      <c r="O57" s="97">
        <f t="shared" si="29"/>
        <v>0</v>
      </c>
      <c r="P57" s="97">
        <f t="shared" si="29"/>
        <v>0</v>
      </c>
      <c r="Q57" s="97">
        <f t="shared" si="29"/>
        <v>0</v>
      </c>
      <c r="R57" s="97">
        <f t="shared" si="29"/>
        <v>0</v>
      </c>
      <c r="S57" s="97">
        <f t="shared" si="29"/>
        <v>0</v>
      </c>
      <c r="T57" s="97">
        <f t="shared" si="29"/>
        <v>0</v>
      </c>
      <c r="U57" s="97">
        <f t="shared" si="29"/>
        <v>0</v>
      </c>
      <c r="V57" s="97">
        <f t="shared" si="29"/>
        <v>0</v>
      </c>
      <c r="W57" s="97">
        <f t="shared" si="29"/>
        <v>0</v>
      </c>
      <c r="X57" s="97">
        <f t="shared" si="29"/>
        <v>0</v>
      </c>
      <c r="Y57" s="97">
        <f t="shared" si="29"/>
        <v>0</v>
      </c>
      <c r="Z57" s="97">
        <f t="shared" si="29"/>
        <v>0</v>
      </c>
      <c r="AA57" s="97">
        <f t="shared" si="29"/>
        <v>0</v>
      </c>
      <c r="AB57" s="97">
        <f t="shared" si="29"/>
        <v>0</v>
      </c>
      <c r="AC57" s="98">
        <f t="shared" si="29"/>
        <v>11662.21</v>
      </c>
      <c r="AD57" s="99">
        <f t="shared" si="29"/>
        <v>0</v>
      </c>
      <c r="AE57" s="99">
        <f t="shared" si="29"/>
        <v>0</v>
      </c>
      <c r="AF57" s="99">
        <f t="shared" si="29"/>
        <v>0</v>
      </c>
      <c r="AG57" s="100">
        <f t="shared" si="29"/>
        <v>0</v>
      </c>
      <c r="AH57" s="100">
        <f t="shared" si="29"/>
        <v>0</v>
      </c>
      <c r="AI57" s="100">
        <f t="shared" si="29"/>
        <v>0</v>
      </c>
      <c r="AJ57" s="100">
        <f t="shared" si="29"/>
        <v>0</v>
      </c>
      <c r="AK57" s="100">
        <f t="shared" si="29"/>
        <v>0</v>
      </c>
      <c r="AL57" s="100">
        <f t="shared" si="29"/>
        <v>0</v>
      </c>
      <c r="AM57" s="100">
        <f t="shared" si="29"/>
        <v>0</v>
      </c>
      <c r="AN57" s="100">
        <f t="shared" si="29"/>
        <v>0</v>
      </c>
      <c r="AO57" s="100">
        <f t="shared" si="29"/>
        <v>0</v>
      </c>
      <c r="AP57" s="100">
        <f t="shared" si="29"/>
        <v>0</v>
      </c>
      <c r="AQ57" s="100">
        <f t="shared" si="29"/>
        <v>0</v>
      </c>
      <c r="AR57" s="100">
        <f t="shared" si="29"/>
        <v>0</v>
      </c>
      <c r="AS57" s="100">
        <f t="shared" si="29"/>
        <v>0</v>
      </c>
      <c r="AT57" s="100">
        <f t="shared" si="29"/>
        <v>0</v>
      </c>
      <c r="AU57" s="97">
        <f t="shared" si="29"/>
        <v>0</v>
      </c>
      <c r="AV57" s="98">
        <f t="shared" si="29"/>
        <v>0</v>
      </c>
      <c r="AW57" s="99">
        <f t="shared" si="29"/>
        <v>0</v>
      </c>
      <c r="AX57" s="99">
        <f t="shared" si="29"/>
        <v>0</v>
      </c>
      <c r="AY57" s="99">
        <f t="shared" si="29"/>
        <v>0</v>
      </c>
      <c r="AZ57" s="100">
        <f t="shared" si="29"/>
        <v>0</v>
      </c>
      <c r="BA57" s="100">
        <f t="shared" si="29"/>
        <v>0</v>
      </c>
      <c r="BB57" s="100">
        <f t="shared" si="29"/>
        <v>0</v>
      </c>
      <c r="BC57" s="100">
        <f t="shared" si="29"/>
        <v>0</v>
      </c>
      <c r="BD57" s="100">
        <f t="shared" si="29"/>
        <v>0</v>
      </c>
      <c r="BE57" s="100">
        <f t="shared" si="29"/>
        <v>0</v>
      </c>
      <c r="BF57" s="100">
        <f t="shared" si="29"/>
        <v>0</v>
      </c>
      <c r="BG57" s="100">
        <f t="shared" si="29"/>
        <v>0</v>
      </c>
      <c r="BH57" s="100">
        <f t="shared" si="29"/>
        <v>0</v>
      </c>
      <c r="BI57" s="100">
        <f t="shared" si="29"/>
        <v>0</v>
      </c>
      <c r="BJ57" s="100">
        <f t="shared" si="29"/>
        <v>0</v>
      </c>
      <c r="BK57" s="100">
        <f t="shared" si="29"/>
        <v>0</v>
      </c>
      <c r="BL57" s="100">
        <f t="shared" si="29"/>
        <v>0</v>
      </c>
      <c r="BM57" s="100">
        <f t="shared" si="29"/>
        <v>0</v>
      </c>
      <c r="BN57" s="97">
        <f t="shared" si="29"/>
        <v>0</v>
      </c>
      <c r="BO57" s="98">
        <f t="shared" si="29"/>
        <v>0</v>
      </c>
      <c r="BP57" s="99">
        <f t="shared" ref="BP57:EA57" si="30">SUM(BP58:BP64)</f>
        <v>0</v>
      </c>
      <c r="BQ57" s="99">
        <f t="shared" si="30"/>
        <v>0</v>
      </c>
      <c r="BR57" s="99">
        <f t="shared" si="30"/>
        <v>0</v>
      </c>
      <c r="BS57" s="100">
        <f t="shared" si="30"/>
        <v>0</v>
      </c>
      <c r="BT57" s="100">
        <f t="shared" si="30"/>
        <v>0</v>
      </c>
      <c r="BU57" s="100">
        <f t="shared" si="30"/>
        <v>0</v>
      </c>
      <c r="BV57" s="100">
        <f t="shared" si="30"/>
        <v>0</v>
      </c>
      <c r="BW57" s="100">
        <f t="shared" si="30"/>
        <v>0</v>
      </c>
      <c r="BX57" s="100">
        <f t="shared" si="30"/>
        <v>0</v>
      </c>
      <c r="BY57" s="100">
        <f t="shared" si="30"/>
        <v>0</v>
      </c>
      <c r="BZ57" s="100">
        <f t="shared" si="30"/>
        <v>0</v>
      </c>
      <c r="CA57" s="100">
        <f t="shared" si="30"/>
        <v>0</v>
      </c>
      <c r="CB57" s="100">
        <f t="shared" si="30"/>
        <v>0</v>
      </c>
      <c r="CC57" s="100">
        <f t="shared" si="30"/>
        <v>0</v>
      </c>
      <c r="CD57" s="100">
        <f t="shared" si="30"/>
        <v>0</v>
      </c>
      <c r="CE57" s="100">
        <f t="shared" si="30"/>
        <v>0</v>
      </c>
      <c r="CF57" s="100">
        <f t="shared" si="30"/>
        <v>0</v>
      </c>
      <c r="CG57" s="97">
        <f t="shared" si="30"/>
        <v>0</v>
      </c>
      <c r="CH57" s="98">
        <f t="shared" si="30"/>
        <v>0</v>
      </c>
      <c r="CI57" s="99">
        <f t="shared" si="30"/>
        <v>0</v>
      </c>
      <c r="CJ57" s="99">
        <f t="shared" si="30"/>
        <v>0</v>
      </c>
      <c r="CK57" s="99">
        <f t="shared" si="30"/>
        <v>0</v>
      </c>
      <c r="CL57" s="100">
        <f t="shared" si="30"/>
        <v>0</v>
      </c>
      <c r="CM57" s="100">
        <f t="shared" si="30"/>
        <v>0</v>
      </c>
      <c r="CN57" s="100">
        <f t="shared" si="30"/>
        <v>0</v>
      </c>
      <c r="CO57" s="100">
        <f t="shared" si="30"/>
        <v>0</v>
      </c>
      <c r="CP57" s="100">
        <f t="shared" si="30"/>
        <v>0</v>
      </c>
      <c r="CQ57" s="100">
        <f t="shared" si="30"/>
        <v>0</v>
      </c>
      <c r="CR57" s="100">
        <f t="shared" si="30"/>
        <v>0</v>
      </c>
      <c r="CS57" s="100">
        <f t="shared" si="30"/>
        <v>0</v>
      </c>
      <c r="CT57" s="100">
        <f t="shared" si="30"/>
        <v>0</v>
      </c>
      <c r="CU57" s="100">
        <f t="shared" si="30"/>
        <v>0</v>
      </c>
      <c r="CV57" s="100">
        <f t="shared" si="30"/>
        <v>0</v>
      </c>
      <c r="CW57" s="100">
        <f t="shared" si="30"/>
        <v>0</v>
      </c>
      <c r="CX57" s="100">
        <f t="shared" si="30"/>
        <v>0</v>
      </c>
      <c r="CY57" s="100">
        <f t="shared" si="30"/>
        <v>0</v>
      </c>
      <c r="CZ57" s="97">
        <f t="shared" si="30"/>
        <v>0</v>
      </c>
      <c r="DA57" s="98">
        <f t="shared" si="30"/>
        <v>0</v>
      </c>
      <c r="DB57" s="99">
        <f t="shared" si="30"/>
        <v>0</v>
      </c>
      <c r="DC57" s="99">
        <f t="shared" si="30"/>
        <v>0</v>
      </c>
      <c r="DD57" s="99">
        <f t="shared" si="30"/>
        <v>0</v>
      </c>
      <c r="DE57" s="100">
        <f t="shared" si="30"/>
        <v>0</v>
      </c>
      <c r="DF57" s="100">
        <f t="shared" si="30"/>
        <v>0</v>
      </c>
      <c r="DG57" s="100">
        <f t="shared" si="30"/>
        <v>0</v>
      </c>
      <c r="DH57" s="100">
        <f t="shared" si="30"/>
        <v>0</v>
      </c>
      <c r="DI57" s="100">
        <f t="shared" si="30"/>
        <v>0</v>
      </c>
      <c r="DJ57" s="100">
        <f t="shared" si="30"/>
        <v>0</v>
      </c>
      <c r="DK57" s="100">
        <f t="shared" si="30"/>
        <v>0</v>
      </c>
      <c r="DL57" s="100">
        <f t="shared" si="30"/>
        <v>0</v>
      </c>
      <c r="DM57" s="100">
        <f t="shared" si="30"/>
        <v>0</v>
      </c>
      <c r="DN57" s="100">
        <f t="shared" si="30"/>
        <v>0</v>
      </c>
      <c r="DO57" s="100">
        <f t="shared" si="30"/>
        <v>0</v>
      </c>
      <c r="DP57" s="100">
        <f t="shared" si="30"/>
        <v>0</v>
      </c>
      <c r="DQ57" s="100">
        <f t="shared" si="30"/>
        <v>0</v>
      </c>
      <c r="DR57" s="100">
        <f t="shared" si="30"/>
        <v>0</v>
      </c>
      <c r="DS57" s="97">
        <f t="shared" si="30"/>
        <v>0</v>
      </c>
      <c r="DT57" s="98">
        <f t="shared" si="30"/>
        <v>0</v>
      </c>
      <c r="DU57" s="99">
        <f t="shared" si="30"/>
        <v>0</v>
      </c>
      <c r="DV57" s="99">
        <f t="shared" si="30"/>
        <v>0</v>
      </c>
      <c r="DW57" s="99">
        <f t="shared" si="30"/>
        <v>0</v>
      </c>
      <c r="DX57" s="100">
        <f t="shared" si="30"/>
        <v>0</v>
      </c>
      <c r="DY57" s="100">
        <f t="shared" si="30"/>
        <v>0</v>
      </c>
      <c r="DZ57" s="100">
        <f t="shared" si="30"/>
        <v>0</v>
      </c>
      <c r="EA57" s="100">
        <f t="shared" si="30"/>
        <v>0</v>
      </c>
      <c r="EB57" s="100">
        <f t="shared" ref="EB57:GP57" si="31">SUM(EB58:EB64)</f>
        <v>0</v>
      </c>
      <c r="EC57" s="100">
        <f t="shared" si="31"/>
        <v>0</v>
      </c>
      <c r="ED57" s="100">
        <f t="shared" si="31"/>
        <v>0</v>
      </c>
      <c r="EE57" s="100">
        <f t="shared" si="31"/>
        <v>0</v>
      </c>
      <c r="EF57" s="100">
        <f t="shared" si="31"/>
        <v>0</v>
      </c>
      <c r="EG57" s="100">
        <f t="shared" si="31"/>
        <v>0</v>
      </c>
      <c r="EH57" s="100">
        <f t="shared" si="31"/>
        <v>0</v>
      </c>
      <c r="EI57" s="100">
        <f t="shared" si="31"/>
        <v>0</v>
      </c>
      <c r="EJ57" s="100">
        <f t="shared" si="31"/>
        <v>0</v>
      </c>
      <c r="EK57" s="100">
        <f t="shared" si="31"/>
        <v>0</v>
      </c>
      <c r="EL57" s="97">
        <f t="shared" si="31"/>
        <v>0</v>
      </c>
      <c r="EM57" s="98">
        <f t="shared" si="31"/>
        <v>0</v>
      </c>
      <c r="EN57" s="99">
        <f t="shared" si="31"/>
        <v>0</v>
      </c>
      <c r="EO57" s="99">
        <f t="shared" si="31"/>
        <v>0</v>
      </c>
      <c r="EP57" s="99">
        <f t="shared" si="31"/>
        <v>0</v>
      </c>
      <c r="EQ57" s="100">
        <f t="shared" si="31"/>
        <v>0</v>
      </c>
      <c r="ER57" s="100">
        <f t="shared" si="31"/>
        <v>0</v>
      </c>
      <c r="ES57" s="100">
        <f t="shared" si="31"/>
        <v>0</v>
      </c>
      <c r="ET57" s="100">
        <f t="shared" si="31"/>
        <v>0</v>
      </c>
      <c r="EU57" s="100">
        <f t="shared" si="31"/>
        <v>0</v>
      </c>
      <c r="EV57" s="100">
        <f t="shared" si="31"/>
        <v>0</v>
      </c>
      <c r="EW57" s="100">
        <f t="shared" si="31"/>
        <v>0</v>
      </c>
      <c r="EX57" s="100">
        <f t="shared" si="31"/>
        <v>0</v>
      </c>
      <c r="EY57" s="100">
        <f t="shared" si="31"/>
        <v>0</v>
      </c>
      <c r="EZ57" s="100">
        <f t="shared" si="31"/>
        <v>0</v>
      </c>
      <c r="FA57" s="100">
        <f t="shared" si="31"/>
        <v>0</v>
      </c>
      <c r="FB57" s="100">
        <f t="shared" si="31"/>
        <v>0</v>
      </c>
      <c r="FC57" s="100">
        <f t="shared" si="31"/>
        <v>0</v>
      </c>
      <c r="FD57" s="100">
        <f t="shared" si="31"/>
        <v>0</v>
      </c>
      <c r="FE57" s="101">
        <f t="shared" si="31"/>
        <v>0</v>
      </c>
    </row>
    <row r="58" spans="2:161" s="6" customFormat="1" ht="13.2">
      <c r="B58" s="108" t="s">
        <v>101</v>
      </c>
      <c r="C58" s="109" t="s">
        <v>102</v>
      </c>
      <c r="D58" s="81">
        <f t="shared" ref="D58:D64" si="32">SUM(E58:AB58)</f>
        <v>9598</v>
      </c>
      <c r="E58" s="82">
        <f t="shared" ref="E58:T64" si="33">SUM(AC58,AV58,BO58,CH58,DA58,DT58,EM58)</f>
        <v>9598</v>
      </c>
      <c r="F58" s="83">
        <f t="shared" si="33"/>
        <v>0</v>
      </c>
      <c r="G58" s="83">
        <f t="shared" si="33"/>
        <v>0</v>
      </c>
      <c r="H58" s="83">
        <f t="shared" si="33"/>
        <v>0</v>
      </c>
      <c r="I58" s="84">
        <f t="shared" si="33"/>
        <v>0</v>
      </c>
      <c r="J58" s="84">
        <f t="shared" si="33"/>
        <v>0</v>
      </c>
      <c r="K58" s="84">
        <f t="shared" si="33"/>
        <v>0</v>
      </c>
      <c r="L58" s="84">
        <f t="shared" si="33"/>
        <v>0</v>
      </c>
      <c r="M58" s="84">
        <f t="shared" si="33"/>
        <v>0</v>
      </c>
      <c r="N58" s="84">
        <f t="shared" si="33"/>
        <v>0</v>
      </c>
      <c r="O58" s="84">
        <f t="shared" si="33"/>
        <v>0</v>
      </c>
      <c r="P58" s="84">
        <f t="shared" si="33"/>
        <v>0</v>
      </c>
      <c r="Q58" s="84">
        <f t="shared" si="33"/>
        <v>0</v>
      </c>
      <c r="R58" s="84">
        <f t="shared" si="33"/>
        <v>0</v>
      </c>
      <c r="S58" s="84">
        <f t="shared" si="33"/>
        <v>0</v>
      </c>
      <c r="T58" s="84">
        <f t="shared" si="33"/>
        <v>0</v>
      </c>
      <c r="U58" s="84">
        <f t="shared" ref="O58:V64" si="34">SUM(AS58,BL58,CE58,CX58,DQ58,EJ58,FC58)</f>
        <v>0</v>
      </c>
      <c r="V58" s="84">
        <f t="shared" si="34"/>
        <v>0</v>
      </c>
      <c r="W58" s="84">
        <f>SIS064_F_Pelenutvarkymo1Elektrosenergi5</f>
        <v>0</v>
      </c>
      <c r="X58" s="84">
        <f>SUM(SIS062_F_Pelenutvarkymo1Geriamojovande1,SIS063_F_Pelenutvarkymo1Geriamojovande1,SIS065_F_Pelenutvarkymo1Geriamojovande1)</f>
        <v>0</v>
      </c>
      <c r="Y58" s="84">
        <f>SUM(SIS062_F_Pelenutvarkymo1Paslaugaproduk8,SIS063_F_Pelenutvarkymo1Paslaugaproduk8,SIS065_F_Pelenutvarkymo1Paslaugaproduk8)</f>
        <v>0</v>
      </c>
      <c r="Z58" s="84">
        <f>SIS064_F_Pelenutvarkymo1Elektrosenergi6</f>
        <v>0</v>
      </c>
      <c r="AA58" s="84">
        <f>SUM(SIS062_F_Pelenutvarkymo1Konkurencinesi1,SIS063_F_Pelenutvarkymo1Konkurencinesi1,SIS065_F_Pelenutvarkymo1Konkurencinesi1,)</f>
        <v>0</v>
      </c>
      <c r="AB58" s="84">
        <f>SUM(SIS062_F_Pelenutvarkymo1Paslaugaproduk9,SIS063_F_Pelenutvarkymo1Paslaugaproduk9,SIS065_F_Pelenutvarkymo1Paslaugaproduk9)</f>
        <v>0</v>
      </c>
      <c r="AC58" s="85">
        <v>9598</v>
      </c>
      <c r="AD58" s="86"/>
      <c r="AE58" s="86"/>
      <c r="AF58" s="86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8"/>
      <c r="AV58" s="85"/>
      <c r="AW58" s="86"/>
      <c r="AX58" s="86"/>
      <c r="AY58" s="86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8"/>
      <c r="BO58" s="85"/>
      <c r="BP58" s="86"/>
      <c r="BQ58" s="86"/>
      <c r="BR58" s="86"/>
      <c r="BS58" s="87"/>
      <c r="BT58" s="87"/>
      <c r="BU58" s="87"/>
      <c r="BV58" s="87"/>
      <c r="BW58" s="87"/>
      <c r="BX58" s="87"/>
      <c r="BY58" s="87"/>
      <c r="BZ58" s="87"/>
      <c r="CA58" s="87"/>
      <c r="CB58" s="87"/>
      <c r="CC58" s="87"/>
      <c r="CD58" s="87"/>
      <c r="CE58" s="87"/>
      <c r="CF58" s="87"/>
      <c r="CG58" s="88"/>
      <c r="CH58" s="85"/>
      <c r="CI58" s="86"/>
      <c r="CJ58" s="86"/>
      <c r="CK58" s="86"/>
      <c r="CL58" s="87"/>
      <c r="CM58" s="87"/>
      <c r="CN58" s="87"/>
      <c r="CO58" s="87"/>
      <c r="CP58" s="87"/>
      <c r="CQ58" s="87"/>
      <c r="CR58" s="87"/>
      <c r="CS58" s="87"/>
      <c r="CT58" s="87"/>
      <c r="CU58" s="87"/>
      <c r="CV58" s="87"/>
      <c r="CW58" s="87"/>
      <c r="CX58" s="87"/>
      <c r="CY58" s="87"/>
      <c r="CZ58" s="88"/>
      <c r="DA58" s="85"/>
      <c r="DB58" s="86"/>
      <c r="DC58" s="86"/>
      <c r="DD58" s="86"/>
      <c r="DE58" s="87"/>
      <c r="DF58" s="87"/>
      <c r="DG58" s="87"/>
      <c r="DH58" s="87"/>
      <c r="DI58" s="87"/>
      <c r="DJ58" s="87"/>
      <c r="DK58" s="87"/>
      <c r="DL58" s="87"/>
      <c r="DM58" s="87"/>
      <c r="DN58" s="87"/>
      <c r="DO58" s="87"/>
      <c r="DP58" s="87"/>
      <c r="DQ58" s="87"/>
      <c r="DR58" s="87"/>
      <c r="DS58" s="88"/>
      <c r="DT58" s="85"/>
      <c r="DU58" s="86"/>
      <c r="DV58" s="86"/>
      <c r="DW58" s="86"/>
      <c r="DX58" s="87"/>
      <c r="DY58" s="87"/>
      <c r="DZ58" s="87"/>
      <c r="EA58" s="87"/>
      <c r="EB58" s="87"/>
      <c r="EC58" s="87"/>
      <c r="ED58" s="87"/>
      <c r="EE58" s="87"/>
      <c r="EF58" s="87"/>
      <c r="EG58" s="87"/>
      <c r="EH58" s="87"/>
      <c r="EI58" s="87"/>
      <c r="EJ58" s="87"/>
      <c r="EK58" s="87"/>
      <c r="EL58" s="88"/>
      <c r="EM58" s="85"/>
      <c r="EN58" s="86"/>
      <c r="EO58" s="86"/>
      <c r="EP58" s="86"/>
      <c r="EQ58" s="87"/>
      <c r="ER58" s="87"/>
      <c r="ES58" s="87"/>
      <c r="ET58" s="87"/>
      <c r="EU58" s="87"/>
      <c r="EV58" s="87"/>
      <c r="EW58" s="87"/>
      <c r="EX58" s="87"/>
      <c r="EY58" s="87"/>
      <c r="EZ58" s="87"/>
      <c r="FA58" s="87"/>
      <c r="FB58" s="87"/>
      <c r="FC58" s="87"/>
      <c r="FD58" s="87"/>
      <c r="FE58" s="89"/>
    </row>
    <row r="59" spans="2:161" s="6" customFormat="1" ht="13.2">
      <c r="B59" s="108" t="s">
        <v>103</v>
      </c>
      <c r="C59" s="109" t="s">
        <v>104</v>
      </c>
      <c r="D59" s="81">
        <f t="shared" si="32"/>
        <v>1560.21</v>
      </c>
      <c r="E59" s="82">
        <f t="shared" si="33"/>
        <v>1560.21</v>
      </c>
      <c r="F59" s="83">
        <f t="shared" si="33"/>
        <v>0</v>
      </c>
      <c r="G59" s="83">
        <f t="shared" si="33"/>
        <v>0</v>
      </c>
      <c r="H59" s="83">
        <f t="shared" si="33"/>
        <v>0</v>
      </c>
      <c r="I59" s="84">
        <f t="shared" si="33"/>
        <v>0</v>
      </c>
      <c r="J59" s="84">
        <f t="shared" si="33"/>
        <v>0</v>
      </c>
      <c r="K59" s="84">
        <f t="shared" si="33"/>
        <v>0</v>
      </c>
      <c r="L59" s="84">
        <f t="shared" si="33"/>
        <v>0</v>
      </c>
      <c r="M59" s="84">
        <f t="shared" si="33"/>
        <v>0</v>
      </c>
      <c r="N59" s="84">
        <f t="shared" si="33"/>
        <v>0</v>
      </c>
      <c r="O59" s="84">
        <f t="shared" si="34"/>
        <v>0</v>
      </c>
      <c r="P59" s="84">
        <f t="shared" si="34"/>
        <v>0</v>
      </c>
      <c r="Q59" s="84">
        <f t="shared" si="34"/>
        <v>0</v>
      </c>
      <c r="R59" s="84">
        <f t="shared" si="34"/>
        <v>0</v>
      </c>
      <c r="S59" s="84">
        <f t="shared" si="34"/>
        <v>0</v>
      </c>
      <c r="T59" s="84">
        <f t="shared" si="34"/>
        <v>0</v>
      </c>
      <c r="U59" s="84">
        <f t="shared" si="34"/>
        <v>0</v>
      </c>
      <c r="V59" s="84">
        <f t="shared" si="34"/>
        <v>0</v>
      </c>
      <c r="W59" s="84">
        <f>SIS064_F_Energijosistek1Elektrosenergi5</f>
        <v>0</v>
      </c>
      <c r="X59" s="84">
        <f>SUM(SIS062_F_Energijosistek1Geriamojovande1,SIS063_F_Energijosistek1Geriamojovande1,SIS065_F_Energijosistek1Geriamojovande1)</f>
        <v>0</v>
      </c>
      <c r="Y59" s="84">
        <f>SUM(SIS062_F_Energijosistek1Paslaugaproduk8,SIS063_F_Energijosistek1Paslaugaproduk8,SIS065_F_Energijosistek1Paslaugaproduk8)</f>
        <v>0</v>
      </c>
      <c r="Z59" s="84">
        <f>SIS064_F_Energijosistek1Elektrosenergi6</f>
        <v>0</v>
      </c>
      <c r="AA59" s="84">
        <f>SUM(SIS062_F_Energijosistek1Konkurencinesi1,SIS063_F_Energijosistek1Konkurencinesi1,SIS065_F_Energijosistek1Konkurencinesi1,)</f>
        <v>0</v>
      </c>
      <c r="AB59" s="84">
        <f>SUM(SIS062_F_Energijosistek1Paslaugaproduk9,SIS063_F_Energijosistek1Paslaugaproduk9,SIS065_F_Energijosistek1Paslaugaproduk9)</f>
        <v>0</v>
      </c>
      <c r="AC59" s="85">
        <v>1560.21</v>
      </c>
      <c r="AD59" s="86"/>
      <c r="AE59" s="86"/>
      <c r="AF59" s="86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8"/>
      <c r="AV59" s="85"/>
      <c r="AW59" s="86"/>
      <c r="AX59" s="86"/>
      <c r="AY59" s="86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8"/>
      <c r="BO59" s="85"/>
      <c r="BP59" s="86"/>
      <c r="BQ59" s="86"/>
      <c r="BR59" s="86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  <c r="CE59" s="87"/>
      <c r="CF59" s="87"/>
      <c r="CG59" s="88"/>
      <c r="CH59" s="85"/>
      <c r="CI59" s="86"/>
      <c r="CJ59" s="86"/>
      <c r="CK59" s="86"/>
      <c r="CL59" s="87"/>
      <c r="CM59" s="87"/>
      <c r="CN59" s="87"/>
      <c r="CO59" s="87"/>
      <c r="CP59" s="87"/>
      <c r="CQ59" s="87"/>
      <c r="CR59" s="87"/>
      <c r="CS59" s="87"/>
      <c r="CT59" s="87"/>
      <c r="CU59" s="87"/>
      <c r="CV59" s="87"/>
      <c r="CW59" s="87"/>
      <c r="CX59" s="87"/>
      <c r="CY59" s="87"/>
      <c r="CZ59" s="88"/>
      <c r="DA59" s="85"/>
      <c r="DB59" s="86"/>
      <c r="DC59" s="86"/>
      <c r="DD59" s="86"/>
      <c r="DE59" s="87"/>
      <c r="DF59" s="87"/>
      <c r="DG59" s="87"/>
      <c r="DH59" s="87"/>
      <c r="DI59" s="87"/>
      <c r="DJ59" s="87"/>
      <c r="DK59" s="87"/>
      <c r="DL59" s="87"/>
      <c r="DM59" s="87"/>
      <c r="DN59" s="87"/>
      <c r="DO59" s="87"/>
      <c r="DP59" s="87"/>
      <c r="DQ59" s="87"/>
      <c r="DR59" s="87"/>
      <c r="DS59" s="88"/>
      <c r="DT59" s="85"/>
      <c r="DU59" s="86"/>
      <c r="DV59" s="86"/>
      <c r="DW59" s="86"/>
      <c r="DX59" s="87"/>
      <c r="DY59" s="87"/>
      <c r="DZ59" s="87"/>
      <c r="EA59" s="87"/>
      <c r="EB59" s="87"/>
      <c r="EC59" s="87"/>
      <c r="ED59" s="87"/>
      <c r="EE59" s="87"/>
      <c r="EF59" s="87"/>
      <c r="EG59" s="87"/>
      <c r="EH59" s="87"/>
      <c r="EI59" s="87"/>
      <c r="EJ59" s="87"/>
      <c r="EK59" s="87"/>
      <c r="EL59" s="88"/>
      <c r="EM59" s="85"/>
      <c r="EN59" s="86"/>
      <c r="EO59" s="86"/>
      <c r="EP59" s="86"/>
      <c r="EQ59" s="87"/>
      <c r="ER59" s="87"/>
      <c r="ES59" s="87"/>
      <c r="ET59" s="87"/>
      <c r="EU59" s="87"/>
      <c r="EV59" s="87"/>
      <c r="EW59" s="87"/>
      <c r="EX59" s="87"/>
      <c r="EY59" s="87"/>
      <c r="EZ59" s="87"/>
      <c r="FA59" s="87"/>
      <c r="FB59" s="87"/>
      <c r="FC59" s="87"/>
      <c r="FD59" s="87"/>
      <c r="FE59" s="89"/>
    </row>
    <row r="60" spans="2:161" s="6" customFormat="1" ht="13.2">
      <c r="B60" s="108" t="s">
        <v>105</v>
      </c>
      <c r="C60" s="105" t="s">
        <v>106</v>
      </c>
      <c r="D60" s="81">
        <f t="shared" si="32"/>
        <v>0</v>
      </c>
      <c r="E60" s="82">
        <f t="shared" si="33"/>
        <v>0</v>
      </c>
      <c r="F60" s="83">
        <f t="shared" si="33"/>
        <v>0</v>
      </c>
      <c r="G60" s="83">
        <f t="shared" si="33"/>
        <v>0</v>
      </c>
      <c r="H60" s="83">
        <f t="shared" si="33"/>
        <v>0</v>
      </c>
      <c r="I60" s="84">
        <f t="shared" si="33"/>
        <v>0</v>
      </c>
      <c r="J60" s="84">
        <f t="shared" si="33"/>
        <v>0</v>
      </c>
      <c r="K60" s="84">
        <f t="shared" si="33"/>
        <v>0</v>
      </c>
      <c r="L60" s="84">
        <f t="shared" si="33"/>
        <v>0</v>
      </c>
      <c r="M60" s="84">
        <f t="shared" si="33"/>
        <v>0</v>
      </c>
      <c r="N60" s="84">
        <f t="shared" si="33"/>
        <v>0</v>
      </c>
      <c r="O60" s="84">
        <f t="shared" si="34"/>
        <v>0</v>
      </c>
      <c r="P60" s="84">
        <f t="shared" si="34"/>
        <v>0</v>
      </c>
      <c r="Q60" s="84">
        <f t="shared" si="34"/>
        <v>0</v>
      </c>
      <c r="R60" s="84">
        <f t="shared" si="34"/>
        <v>0</v>
      </c>
      <c r="S60" s="84">
        <f t="shared" si="34"/>
        <v>0</v>
      </c>
      <c r="T60" s="84">
        <f t="shared" si="34"/>
        <v>0</v>
      </c>
      <c r="U60" s="84">
        <f t="shared" si="34"/>
        <v>0</v>
      </c>
      <c r="V60" s="84">
        <f t="shared" si="34"/>
        <v>0</v>
      </c>
      <c r="W60" s="84">
        <f>SIS064_F_Gamtiniudujubi1Elektrosenergi5</f>
        <v>0</v>
      </c>
      <c r="X60" s="84">
        <f>SUM(SIS062_F_Gamtiniudujubi1Geriamojovande1,SIS063_F_Gamtiniudujubi1Geriamojovande1,SIS065_F_Gamtiniudujubi1Geriamojovande1)</f>
        <v>0</v>
      </c>
      <c r="Y60" s="84">
        <f>SUM(SIS062_F_Gamtiniudujubi1Paslaugaproduk8,SIS063_F_Gamtiniudujubi1Paslaugaproduk8,SIS065_F_Gamtiniudujubi1Paslaugaproduk8)</f>
        <v>0</v>
      </c>
      <c r="Z60" s="84">
        <f>SIS064_F_Gamtiniudujubi1Elektrosenergi6</f>
        <v>0</v>
      </c>
      <c r="AA60" s="84">
        <f>SUM(SIS062_F_Gamtiniudujubi1Konkurencinesi1,SIS063_F_Gamtiniudujubi1Konkurencinesi1,SIS065_F_Gamtiniudujubi1Konkurencinesi1,)</f>
        <v>0</v>
      </c>
      <c r="AB60" s="84">
        <f>SUM(SIS062_F_Gamtiniudujubi1Paslaugaproduk9,SIS063_F_Gamtiniudujubi1Paslaugaproduk9,SIS065_F_Gamtiniudujubi1Paslaugaproduk9)</f>
        <v>0</v>
      </c>
      <c r="AC60" s="85">
        <v>0</v>
      </c>
      <c r="AD60" s="86"/>
      <c r="AE60" s="86"/>
      <c r="AF60" s="86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8"/>
      <c r="AV60" s="85"/>
      <c r="AW60" s="86"/>
      <c r="AX60" s="86"/>
      <c r="AY60" s="86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8"/>
      <c r="BO60" s="85"/>
      <c r="BP60" s="86"/>
      <c r="BQ60" s="86"/>
      <c r="BR60" s="86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8"/>
      <c r="CH60" s="85"/>
      <c r="CI60" s="86"/>
      <c r="CJ60" s="86"/>
      <c r="CK60" s="86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7"/>
      <c r="CX60" s="87"/>
      <c r="CY60" s="87"/>
      <c r="CZ60" s="88"/>
      <c r="DA60" s="85"/>
      <c r="DB60" s="86"/>
      <c r="DC60" s="86"/>
      <c r="DD60" s="86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8"/>
      <c r="DT60" s="85"/>
      <c r="DU60" s="86"/>
      <c r="DV60" s="86"/>
      <c r="DW60" s="86"/>
      <c r="DX60" s="87"/>
      <c r="DY60" s="87"/>
      <c r="DZ60" s="87"/>
      <c r="EA60" s="87"/>
      <c r="EB60" s="87"/>
      <c r="EC60" s="87"/>
      <c r="ED60" s="87"/>
      <c r="EE60" s="87"/>
      <c r="EF60" s="87"/>
      <c r="EG60" s="87"/>
      <c r="EH60" s="87"/>
      <c r="EI60" s="87"/>
      <c r="EJ60" s="87"/>
      <c r="EK60" s="87"/>
      <c r="EL60" s="88"/>
      <c r="EM60" s="85"/>
      <c r="EN60" s="86"/>
      <c r="EO60" s="86"/>
      <c r="EP60" s="86"/>
      <c r="EQ60" s="87"/>
      <c r="ER60" s="87"/>
      <c r="ES60" s="87"/>
      <c r="ET60" s="87"/>
      <c r="EU60" s="87"/>
      <c r="EV60" s="87"/>
      <c r="EW60" s="87"/>
      <c r="EX60" s="87"/>
      <c r="EY60" s="87"/>
      <c r="EZ60" s="87"/>
      <c r="FA60" s="87"/>
      <c r="FB60" s="87"/>
      <c r="FC60" s="87"/>
      <c r="FD60" s="87"/>
      <c r="FE60" s="89"/>
    </row>
    <row r="61" spans="2:161" s="6" customFormat="1" ht="13.2">
      <c r="B61" s="108" t="s">
        <v>107</v>
      </c>
      <c r="C61" s="110" t="s">
        <v>108</v>
      </c>
      <c r="D61" s="81">
        <f t="shared" si="32"/>
        <v>504</v>
      </c>
      <c r="E61" s="82">
        <f t="shared" si="33"/>
        <v>504</v>
      </c>
      <c r="F61" s="83">
        <f t="shared" si="33"/>
        <v>0</v>
      </c>
      <c r="G61" s="83">
        <f t="shared" si="33"/>
        <v>0</v>
      </c>
      <c r="H61" s="83">
        <f t="shared" si="33"/>
        <v>0</v>
      </c>
      <c r="I61" s="84">
        <f t="shared" si="33"/>
        <v>0</v>
      </c>
      <c r="J61" s="84">
        <f t="shared" si="33"/>
        <v>0</v>
      </c>
      <c r="K61" s="84">
        <f t="shared" si="33"/>
        <v>0</v>
      </c>
      <c r="L61" s="84">
        <f t="shared" si="33"/>
        <v>0</v>
      </c>
      <c r="M61" s="84">
        <f t="shared" si="33"/>
        <v>0</v>
      </c>
      <c r="N61" s="84">
        <f t="shared" si="33"/>
        <v>0</v>
      </c>
      <c r="O61" s="84">
        <f t="shared" si="34"/>
        <v>0</v>
      </c>
      <c r="P61" s="84">
        <f t="shared" si="34"/>
        <v>0</v>
      </c>
      <c r="Q61" s="84">
        <f t="shared" si="34"/>
        <v>0</v>
      </c>
      <c r="R61" s="84">
        <f t="shared" si="34"/>
        <v>0</v>
      </c>
      <c r="S61" s="84">
        <f t="shared" si="34"/>
        <v>0</v>
      </c>
      <c r="T61" s="84">
        <f t="shared" si="34"/>
        <v>0</v>
      </c>
      <c r="U61" s="84">
        <f t="shared" si="34"/>
        <v>0</v>
      </c>
      <c r="V61" s="84">
        <f t="shared" si="34"/>
        <v>0</v>
      </c>
      <c r="W61" s="84">
        <f>SIS064_F_Laboratoriniai1Elektrosenergi5</f>
        <v>0</v>
      </c>
      <c r="X61" s="84">
        <f>SUM(SIS062_F_Laboratoriniai1Geriamojovande1,SIS063_F_Laboratoriniai1Geriamojovande1,SIS065_F_Laboratoriniai1Geriamojovande1)</f>
        <v>0</v>
      </c>
      <c r="Y61" s="84">
        <f>SUM(SIS062_F_Laboratoriniai1Paslaugaproduk8,SIS063_F_Laboratoriniai1Paslaugaproduk8,SIS065_F_Laboratoriniai1Paslaugaproduk8)</f>
        <v>0</v>
      </c>
      <c r="Z61" s="84">
        <f>SIS064_F_Laboratoriniai1Elektrosenergi6</f>
        <v>0</v>
      </c>
      <c r="AA61" s="84">
        <f>SUM(SIS062_F_Laboratoriniai1Konkurencinesi1,SIS063_F_Laboratoriniai1Konkurencinesi1,SIS065_F_Laboratoriniai1Konkurencinesi1,)</f>
        <v>0</v>
      </c>
      <c r="AB61" s="84">
        <f>SUM(SIS062_F_Laboratoriniai1Paslaugaproduk9,SIS063_F_Laboratoriniai1Paslaugaproduk9,SIS065_F_Laboratoriniai1Paslaugaproduk9)</f>
        <v>0</v>
      </c>
      <c r="AC61" s="85">
        <v>504</v>
      </c>
      <c r="AD61" s="86"/>
      <c r="AE61" s="86"/>
      <c r="AF61" s="86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8"/>
      <c r="AV61" s="85"/>
      <c r="AW61" s="86"/>
      <c r="AX61" s="86"/>
      <c r="AY61" s="86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8"/>
      <c r="BO61" s="85"/>
      <c r="BP61" s="86"/>
      <c r="BQ61" s="86"/>
      <c r="BR61" s="86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8"/>
      <c r="CH61" s="85"/>
      <c r="CI61" s="86"/>
      <c r="CJ61" s="86"/>
      <c r="CK61" s="86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87"/>
      <c r="CW61" s="87"/>
      <c r="CX61" s="87"/>
      <c r="CY61" s="87"/>
      <c r="CZ61" s="88"/>
      <c r="DA61" s="85"/>
      <c r="DB61" s="86"/>
      <c r="DC61" s="86"/>
      <c r="DD61" s="86"/>
      <c r="DE61" s="87"/>
      <c r="DF61" s="87"/>
      <c r="DG61" s="87"/>
      <c r="DH61" s="87"/>
      <c r="DI61" s="87"/>
      <c r="DJ61" s="87"/>
      <c r="DK61" s="87"/>
      <c r="DL61" s="87"/>
      <c r="DM61" s="87"/>
      <c r="DN61" s="87"/>
      <c r="DO61" s="87"/>
      <c r="DP61" s="87"/>
      <c r="DQ61" s="87"/>
      <c r="DR61" s="87"/>
      <c r="DS61" s="88"/>
      <c r="DT61" s="85"/>
      <c r="DU61" s="86"/>
      <c r="DV61" s="86"/>
      <c r="DW61" s="86"/>
      <c r="DX61" s="87"/>
      <c r="DY61" s="87"/>
      <c r="DZ61" s="87"/>
      <c r="EA61" s="87"/>
      <c r="EB61" s="87"/>
      <c r="EC61" s="87"/>
      <c r="ED61" s="87"/>
      <c r="EE61" s="87"/>
      <c r="EF61" s="87"/>
      <c r="EG61" s="87"/>
      <c r="EH61" s="87"/>
      <c r="EI61" s="87"/>
      <c r="EJ61" s="87"/>
      <c r="EK61" s="87"/>
      <c r="EL61" s="88"/>
      <c r="EM61" s="85"/>
      <c r="EN61" s="86"/>
      <c r="EO61" s="86"/>
      <c r="EP61" s="86"/>
      <c r="EQ61" s="87"/>
      <c r="ER61" s="87"/>
      <c r="ES61" s="87"/>
      <c r="ET61" s="87"/>
      <c r="EU61" s="87"/>
      <c r="EV61" s="87"/>
      <c r="EW61" s="87"/>
      <c r="EX61" s="87"/>
      <c r="EY61" s="87"/>
      <c r="EZ61" s="87"/>
      <c r="FA61" s="87"/>
      <c r="FB61" s="87"/>
      <c r="FC61" s="87"/>
      <c r="FD61" s="87"/>
      <c r="FE61" s="89"/>
    </row>
    <row r="62" spans="2:161" s="6" customFormat="1" ht="13.2" hidden="1">
      <c r="B62" s="108" t="s">
        <v>109</v>
      </c>
      <c r="C62" s="105" t="s">
        <v>110</v>
      </c>
      <c r="D62" s="81">
        <f t="shared" si="32"/>
        <v>0</v>
      </c>
      <c r="E62" s="82">
        <f t="shared" si="33"/>
        <v>0</v>
      </c>
      <c r="F62" s="83">
        <f t="shared" si="33"/>
        <v>0</v>
      </c>
      <c r="G62" s="83">
        <f t="shared" si="33"/>
        <v>0</v>
      </c>
      <c r="H62" s="83">
        <f t="shared" si="33"/>
        <v>0</v>
      </c>
      <c r="I62" s="84">
        <f t="shared" si="33"/>
        <v>0</v>
      </c>
      <c r="J62" s="84">
        <f t="shared" si="33"/>
        <v>0</v>
      </c>
      <c r="K62" s="84">
        <f t="shared" si="33"/>
        <v>0</v>
      </c>
      <c r="L62" s="84">
        <f t="shared" si="33"/>
        <v>0</v>
      </c>
      <c r="M62" s="84">
        <f t="shared" si="33"/>
        <v>0</v>
      </c>
      <c r="N62" s="84">
        <f t="shared" si="33"/>
        <v>0</v>
      </c>
      <c r="O62" s="84">
        <f t="shared" si="34"/>
        <v>0</v>
      </c>
      <c r="P62" s="84">
        <f t="shared" si="34"/>
        <v>0</v>
      </c>
      <c r="Q62" s="84">
        <f t="shared" si="34"/>
        <v>0</v>
      </c>
      <c r="R62" s="84">
        <f t="shared" si="34"/>
        <v>0</v>
      </c>
      <c r="S62" s="84">
        <f t="shared" si="34"/>
        <v>0</v>
      </c>
      <c r="T62" s="84">
        <f t="shared" si="34"/>
        <v>0</v>
      </c>
      <c r="U62" s="84">
        <f t="shared" si="34"/>
        <v>0</v>
      </c>
      <c r="V62" s="84">
        <f t="shared" si="34"/>
        <v>0</v>
      </c>
      <c r="W62" s="84">
        <f>SIS064_F_Cheminesmedzia1Elektrosenergi5</f>
        <v>0</v>
      </c>
      <c r="X62" s="84">
        <f>SUM(SIS062_F_Cheminesmedzia1Geriamojovande1,SIS063_F_Cheminesmedzia1Geriamojovande1,SIS065_F_Cheminesmedzia1Geriamojovande1)</f>
        <v>0</v>
      </c>
      <c r="Y62" s="84">
        <f>SUM(SIS062_F_Cheminesmedzia1Paslaugaproduk8,SIS063_F_Cheminesmedzia1Paslaugaproduk8,SIS065_F_Cheminesmedzia1Paslaugaproduk8)</f>
        <v>0</v>
      </c>
      <c r="Z62" s="84">
        <f>SIS064_F_Cheminesmedzia1Elektrosenergi6</f>
        <v>0</v>
      </c>
      <c r="AA62" s="84">
        <f>SUM(SIS062_F_Cheminesmedzia1Konkurencinesi1,SIS063_F_Cheminesmedzia1Konkurencinesi1,SIS065_F_Cheminesmedzia1Konkurencinesi1,)</f>
        <v>0</v>
      </c>
      <c r="AB62" s="84">
        <f>SUM(SIS062_F_Cheminesmedzia1Paslaugaproduk9,SIS063_F_Cheminesmedzia1Paslaugaproduk9,SIS065_F_Cheminesmedzia1Paslaugaproduk9)</f>
        <v>0</v>
      </c>
      <c r="AC62" s="85"/>
      <c r="AD62" s="86"/>
      <c r="AE62" s="86"/>
      <c r="AF62" s="86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8"/>
      <c r="AV62" s="85"/>
      <c r="AW62" s="86"/>
      <c r="AX62" s="86"/>
      <c r="AY62" s="86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8"/>
      <c r="BO62" s="85"/>
      <c r="BP62" s="86"/>
      <c r="BQ62" s="86"/>
      <c r="BR62" s="86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  <c r="CE62" s="87"/>
      <c r="CF62" s="87"/>
      <c r="CG62" s="88"/>
      <c r="CH62" s="85"/>
      <c r="CI62" s="86"/>
      <c r="CJ62" s="86"/>
      <c r="CK62" s="86"/>
      <c r="CL62" s="87"/>
      <c r="CM62" s="87"/>
      <c r="CN62" s="87"/>
      <c r="CO62" s="87"/>
      <c r="CP62" s="87"/>
      <c r="CQ62" s="87"/>
      <c r="CR62" s="87"/>
      <c r="CS62" s="87"/>
      <c r="CT62" s="87"/>
      <c r="CU62" s="87"/>
      <c r="CV62" s="87"/>
      <c r="CW62" s="87"/>
      <c r="CX62" s="87"/>
      <c r="CY62" s="87"/>
      <c r="CZ62" s="88"/>
      <c r="DA62" s="85"/>
      <c r="DB62" s="86"/>
      <c r="DC62" s="86"/>
      <c r="DD62" s="86"/>
      <c r="DE62" s="87"/>
      <c r="DF62" s="87"/>
      <c r="DG62" s="87"/>
      <c r="DH62" s="87"/>
      <c r="DI62" s="87"/>
      <c r="DJ62" s="87"/>
      <c r="DK62" s="87"/>
      <c r="DL62" s="87"/>
      <c r="DM62" s="87"/>
      <c r="DN62" s="87"/>
      <c r="DO62" s="87"/>
      <c r="DP62" s="87"/>
      <c r="DQ62" s="87"/>
      <c r="DR62" s="87"/>
      <c r="DS62" s="88"/>
      <c r="DT62" s="85"/>
      <c r="DU62" s="86"/>
      <c r="DV62" s="86"/>
      <c r="DW62" s="86"/>
      <c r="DX62" s="87"/>
      <c r="DY62" s="87"/>
      <c r="DZ62" s="87"/>
      <c r="EA62" s="87"/>
      <c r="EB62" s="87"/>
      <c r="EC62" s="87"/>
      <c r="ED62" s="87"/>
      <c r="EE62" s="87"/>
      <c r="EF62" s="87"/>
      <c r="EG62" s="87"/>
      <c r="EH62" s="87"/>
      <c r="EI62" s="87"/>
      <c r="EJ62" s="87"/>
      <c r="EK62" s="87"/>
      <c r="EL62" s="88"/>
      <c r="EM62" s="85"/>
      <c r="EN62" s="86"/>
      <c r="EO62" s="86"/>
      <c r="EP62" s="86"/>
      <c r="EQ62" s="87"/>
      <c r="ER62" s="87"/>
      <c r="ES62" s="87"/>
      <c r="ET62" s="87"/>
      <c r="EU62" s="87"/>
      <c r="EV62" s="87"/>
      <c r="EW62" s="87"/>
      <c r="EX62" s="87"/>
      <c r="EY62" s="87"/>
      <c r="EZ62" s="87"/>
      <c r="FA62" s="87"/>
      <c r="FB62" s="87"/>
      <c r="FC62" s="87"/>
      <c r="FD62" s="87"/>
      <c r="FE62" s="89"/>
    </row>
    <row r="63" spans="2:161" s="6" customFormat="1" ht="13.2" hidden="1">
      <c r="B63" s="108" t="s">
        <v>111</v>
      </c>
      <c r="C63" s="109" t="str">
        <f>SIS055_D_Kitoskintamosi2</f>
        <v>Kitos kintamosios sąnaudos (nurodyti)</v>
      </c>
      <c r="D63" s="81">
        <f t="shared" si="32"/>
        <v>0</v>
      </c>
      <c r="E63" s="82">
        <f t="shared" si="33"/>
        <v>0</v>
      </c>
      <c r="F63" s="83">
        <f t="shared" si="33"/>
        <v>0</v>
      </c>
      <c r="G63" s="83">
        <f t="shared" si="33"/>
        <v>0</v>
      </c>
      <c r="H63" s="83">
        <f t="shared" si="33"/>
        <v>0</v>
      </c>
      <c r="I63" s="84">
        <f t="shared" si="33"/>
        <v>0</v>
      </c>
      <c r="J63" s="84">
        <f t="shared" si="33"/>
        <v>0</v>
      </c>
      <c r="K63" s="84">
        <f t="shared" si="33"/>
        <v>0</v>
      </c>
      <c r="L63" s="84">
        <f t="shared" si="33"/>
        <v>0</v>
      </c>
      <c r="M63" s="84">
        <f t="shared" si="33"/>
        <v>0</v>
      </c>
      <c r="N63" s="84">
        <f t="shared" si="33"/>
        <v>0</v>
      </c>
      <c r="O63" s="84">
        <f t="shared" si="34"/>
        <v>0</v>
      </c>
      <c r="P63" s="84">
        <f t="shared" si="34"/>
        <v>0</v>
      </c>
      <c r="Q63" s="84">
        <f t="shared" si="34"/>
        <v>0</v>
      </c>
      <c r="R63" s="84">
        <f t="shared" si="34"/>
        <v>0</v>
      </c>
      <c r="S63" s="84">
        <f t="shared" si="34"/>
        <v>0</v>
      </c>
      <c r="T63" s="84">
        <f t="shared" si="34"/>
        <v>0</v>
      </c>
      <c r="U63" s="84">
        <f t="shared" si="34"/>
        <v>0</v>
      </c>
      <c r="V63" s="84">
        <f t="shared" si="34"/>
        <v>0</v>
      </c>
      <c r="W63" s="84">
        <f>SIS064_F_Kitoskintamosi2Elektrosenergi5</f>
        <v>0</v>
      </c>
      <c r="X63" s="84">
        <f>SUM(SIS062_F_Kitoskintamosi2Geriamojovande1,SIS063_F_Kitoskintamosi2Geriamojovande1,SIS065_F_Kitoskintamosi2Geriamojovande1)</f>
        <v>0</v>
      </c>
      <c r="Y63" s="84">
        <f>SUM(SIS062_F_Kitoskintamosi2Paslaugaproduk8,SIS063_F_Kitoskintamosi2Paslaugaproduk8,SIS065_F_Kitoskintamosi2Paslaugaproduk8)</f>
        <v>0</v>
      </c>
      <c r="Z63" s="84">
        <f>SIS064_F_Kitoskintamosi2Elektrosenergi6</f>
        <v>0</v>
      </c>
      <c r="AA63" s="84">
        <f>SUM(SIS062_F_Kitoskintamosi2Konkurencinesi1,SIS063_F_Kitoskintamosi2Konkurencinesi1,SIS065_F_Kitoskintamosi2Konkurencinesi1,)</f>
        <v>0</v>
      </c>
      <c r="AB63" s="84">
        <f>SUM(SIS062_F_Kitoskintamosi2Paslaugaproduk9,SIS063_F_Kitoskintamosi2Paslaugaproduk9,SIS065_F_Kitoskintamosi2Paslaugaproduk9)</f>
        <v>0</v>
      </c>
      <c r="AC63" s="85"/>
      <c r="AD63" s="86"/>
      <c r="AE63" s="86"/>
      <c r="AF63" s="86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8"/>
      <c r="AV63" s="85"/>
      <c r="AW63" s="86"/>
      <c r="AX63" s="86"/>
      <c r="AY63" s="86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8"/>
      <c r="BO63" s="85"/>
      <c r="BP63" s="86"/>
      <c r="BQ63" s="86"/>
      <c r="BR63" s="86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8"/>
      <c r="CH63" s="85"/>
      <c r="CI63" s="86"/>
      <c r="CJ63" s="86"/>
      <c r="CK63" s="86"/>
      <c r="CL63" s="87"/>
      <c r="CM63" s="87"/>
      <c r="CN63" s="87"/>
      <c r="CO63" s="87"/>
      <c r="CP63" s="87"/>
      <c r="CQ63" s="87"/>
      <c r="CR63" s="87"/>
      <c r="CS63" s="87"/>
      <c r="CT63" s="87"/>
      <c r="CU63" s="87"/>
      <c r="CV63" s="87"/>
      <c r="CW63" s="87"/>
      <c r="CX63" s="87"/>
      <c r="CY63" s="87"/>
      <c r="CZ63" s="88"/>
      <c r="DA63" s="85"/>
      <c r="DB63" s="86"/>
      <c r="DC63" s="86"/>
      <c r="DD63" s="86"/>
      <c r="DE63" s="87"/>
      <c r="DF63" s="87"/>
      <c r="DG63" s="87"/>
      <c r="DH63" s="87"/>
      <c r="DI63" s="87"/>
      <c r="DJ63" s="87"/>
      <c r="DK63" s="87"/>
      <c r="DL63" s="87"/>
      <c r="DM63" s="87"/>
      <c r="DN63" s="87"/>
      <c r="DO63" s="87"/>
      <c r="DP63" s="87"/>
      <c r="DQ63" s="87"/>
      <c r="DR63" s="87"/>
      <c r="DS63" s="88"/>
      <c r="DT63" s="85"/>
      <c r="DU63" s="86"/>
      <c r="DV63" s="86"/>
      <c r="DW63" s="86"/>
      <c r="DX63" s="87"/>
      <c r="DY63" s="87"/>
      <c r="DZ63" s="87"/>
      <c r="EA63" s="87"/>
      <c r="EB63" s="87"/>
      <c r="EC63" s="87"/>
      <c r="ED63" s="87"/>
      <c r="EE63" s="87"/>
      <c r="EF63" s="87"/>
      <c r="EG63" s="87"/>
      <c r="EH63" s="87"/>
      <c r="EI63" s="87"/>
      <c r="EJ63" s="87"/>
      <c r="EK63" s="87"/>
      <c r="EL63" s="88"/>
      <c r="EM63" s="85"/>
      <c r="EN63" s="86"/>
      <c r="EO63" s="86"/>
      <c r="EP63" s="86"/>
      <c r="EQ63" s="87"/>
      <c r="ER63" s="87"/>
      <c r="ES63" s="87"/>
      <c r="ET63" s="87"/>
      <c r="EU63" s="87"/>
      <c r="EV63" s="87"/>
      <c r="EW63" s="87"/>
      <c r="EX63" s="87"/>
      <c r="EY63" s="87"/>
      <c r="EZ63" s="87"/>
      <c r="FA63" s="87"/>
      <c r="FB63" s="87"/>
      <c r="FC63" s="87"/>
      <c r="FD63" s="87"/>
      <c r="FE63" s="89"/>
    </row>
    <row r="64" spans="2:161" s="6" customFormat="1" ht="13.2" hidden="1">
      <c r="B64" s="108" t="s">
        <v>112</v>
      </c>
      <c r="C64" s="109" t="str">
        <f>SIS055_D_Kitoskintamosi3</f>
        <v>Kitos kintamosios sąnaudos (nurodyti)</v>
      </c>
      <c r="D64" s="81">
        <f t="shared" si="32"/>
        <v>0</v>
      </c>
      <c r="E64" s="82">
        <f t="shared" si="33"/>
        <v>0</v>
      </c>
      <c r="F64" s="83">
        <f t="shared" si="33"/>
        <v>0</v>
      </c>
      <c r="G64" s="83">
        <f t="shared" si="33"/>
        <v>0</v>
      </c>
      <c r="H64" s="83">
        <f t="shared" si="33"/>
        <v>0</v>
      </c>
      <c r="I64" s="84">
        <f t="shared" si="33"/>
        <v>0</v>
      </c>
      <c r="J64" s="84">
        <f t="shared" si="33"/>
        <v>0</v>
      </c>
      <c r="K64" s="84">
        <f t="shared" si="33"/>
        <v>0</v>
      </c>
      <c r="L64" s="84">
        <f t="shared" si="33"/>
        <v>0</v>
      </c>
      <c r="M64" s="84">
        <f t="shared" si="33"/>
        <v>0</v>
      </c>
      <c r="N64" s="84">
        <f t="shared" si="33"/>
        <v>0</v>
      </c>
      <c r="O64" s="84">
        <f t="shared" si="34"/>
        <v>0</v>
      </c>
      <c r="P64" s="84">
        <f t="shared" si="34"/>
        <v>0</v>
      </c>
      <c r="Q64" s="84">
        <f t="shared" si="34"/>
        <v>0</v>
      </c>
      <c r="R64" s="84">
        <f t="shared" si="34"/>
        <v>0</v>
      </c>
      <c r="S64" s="84">
        <f t="shared" si="34"/>
        <v>0</v>
      </c>
      <c r="T64" s="84">
        <f t="shared" si="34"/>
        <v>0</v>
      </c>
      <c r="U64" s="84">
        <f t="shared" si="34"/>
        <v>0</v>
      </c>
      <c r="V64" s="84">
        <f t="shared" si="34"/>
        <v>0</v>
      </c>
      <c r="W64" s="84">
        <f>SIS064_F_Kitoskintamosi3Elektrosenergi5</f>
        <v>0</v>
      </c>
      <c r="X64" s="84">
        <f>SUM(SIS062_F_Kitoskintamosi3Geriamojovande1,SIS063_F_Kitoskintamosi3Geriamojovande1,SIS065_F_Kitoskintamosi3Geriamojovande1)</f>
        <v>0</v>
      </c>
      <c r="Y64" s="84">
        <f>SUM(SIS062_F_Kitoskintamosi3Paslaugaproduk8,SIS063_F_Kitoskintamosi3Paslaugaproduk8,SIS065_F_Kitoskintamosi3Paslaugaproduk8)</f>
        <v>0</v>
      </c>
      <c r="Z64" s="84">
        <f>SIS064_F_Kitoskintamosi3Elektrosenergi6</f>
        <v>0</v>
      </c>
      <c r="AA64" s="84">
        <f>SUM(SIS062_F_Kitoskintamosi3Konkurencinesi1,SIS063_F_Kitoskintamosi3Konkurencinesi1,SIS065_F_Kitoskintamosi3Konkurencinesi1,)</f>
        <v>0</v>
      </c>
      <c r="AB64" s="84">
        <f>SUM(SIS062_F_Kitoskintamosi3Paslaugaproduk9,SIS063_F_Kitoskintamosi3Paslaugaproduk9,SIS065_F_Kitoskintamosi3Paslaugaproduk9)</f>
        <v>0</v>
      </c>
      <c r="AC64" s="85"/>
      <c r="AD64" s="86"/>
      <c r="AE64" s="86"/>
      <c r="AF64" s="86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8"/>
      <c r="AV64" s="85"/>
      <c r="AW64" s="86"/>
      <c r="AX64" s="86"/>
      <c r="AY64" s="86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8"/>
      <c r="BO64" s="85"/>
      <c r="BP64" s="86"/>
      <c r="BQ64" s="86"/>
      <c r="BR64" s="86"/>
      <c r="BS64" s="87"/>
      <c r="BT64" s="87"/>
      <c r="BU64" s="87"/>
      <c r="BV64" s="87"/>
      <c r="BW64" s="87"/>
      <c r="BX64" s="87"/>
      <c r="BY64" s="87"/>
      <c r="BZ64" s="87"/>
      <c r="CA64" s="87"/>
      <c r="CB64" s="87"/>
      <c r="CC64" s="87"/>
      <c r="CD64" s="87"/>
      <c r="CE64" s="87"/>
      <c r="CF64" s="87"/>
      <c r="CG64" s="88"/>
      <c r="CH64" s="85"/>
      <c r="CI64" s="86"/>
      <c r="CJ64" s="86"/>
      <c r="CK64" s="86"/>
      <c r="CL64" s="87"/>
      <c r="CM64" s="87"/>
      <c r="CN64" s="87"/>
      <c r="CO64" s="87"/>
      <c r="CP64" s="87"/>
      <c r="CQ64" s="87"/>
      <c r="CR64" s="87"/>
      <c r="CS64" s="87"/>
      <c r="CT64" s="87"/>
      <c r="CU64" s="87"/>
      <c r="CV64" s="87"/>
      <c r="CW64" s="87"/>
      <c r="CX64" s="87"/>
      <c r="CY64" s="87"/>
      <c r="CZ64" s="88"/>
      <c r="DA64" s="85"/>
      <c r="DB64" s="86"/>
      <c r="DC64" s="86"/>
      <c r="DD64" s="86"/>
      <c r="DE64" s="87"/>
      <c r="DF64" s="87"/>
      <c r="DG64" s="87"/>
      <c r="DH64" s="87"/>
      <c r="DI64" s="87"/>
      <c r="DJ64" s="87"/>
      <c r="DK64" s="87"/>
      <c r="DL64" s="87"/>
      <c r="DM64" s="87"/>
      <c r="DN64" s="87"/>
      <c r="DO64" s="87"/>
      <c r="DP64" s="87"/>
      <c r="DQ64" s="87"/>
      <c r="DR64" s="87"/>
      <c r="DS64" s="88"/>
      <c r="DT64" s="85"/>
      <c r="DU64" s="86"/>
      <c r="DV64" s="86"/>
      <c r="DW64" s="86"/>
      <c r="DX64" s="87"/>
      <c r="DY64" s="87"/>
      <c r="DZ64" s="87"/>
      <c r="EA64" s="87"/>
      <c r="EB64" s="87"/>
      <c r="EC64" s="87"/>
      <c r="ED64" s="87"/>
      <c r="EE64" s="87"/>
      <c r="EF64" s="87"/>
      <c r="EG64" s="87"/>
      <c r="EH64" s="87"/>
      <c r="EI64" s="87"/>
      <c r="EJ64" s="87"/>
      <c r="EK64" s="87"/>
      <c r="EL64" s="88"/>
      <c r="EM64" s="85"/>
      <c r="EN64" s="86"/>
      <c r="EO64" s="86"/>
      <c r="EP64" s="86"/>
      <c r="EQ64" s="87"/>
      <c r="ER64" s="87"/>
      <c r="ES64" s="87"/>
      <c r="ET64" s="87"/>
      <c r="EU64" s="87"/>
      <c r="EV64" s="87"/>
      <c r="EW64" s="87"/>
      <c r="EX64" s="87"/>
      <c r="EY64" s="87"/>
      <c r="EZ64" s="87"/>
      <c r="FA64" s="87"/>
      <c r="FB64" s="87"/>
      <c r="FC64" s="87"/>
      <c r="FD64" s="87"/>
      <c r="FE64" s="89"/>
    </row>
    <row r="65" spans="2:161" s="6" customFormat="1" ht="13.2">
      <c r="B65" s="93" t="s">
        <v>113</v>
      </c>
      <c r="C65" s="111" t="s">
        <v>114</v>
      </c>
      <c r="D65" s="106">
        <f t="shared" ref="D65:BO65" si="35">SUM(D66:D92)</f>
        <v>125905.13999999998</v>
      </c>
      <c r="E65" s="95">
        <f t="shared" si="35"/>
        <v>102855.96999999997</v>
      </c>
      <c r="F65" s="96">
        <f t="shared" si="35"/>
        <v>0</v>
      </c>
      <c r="G65" s="96">
        <f t="shared" si="35"/>
        <v>0</v>
      </c>
      <c r="H65" s="96">
        <f t="shared" si="35"/>
        <v>0</v>
      </c>
      <c r="I65" s="97">
        <f t="shared" si="35"/>
        <v>0</v>
      </c>
      <c r="J65" s="97">
        <f t="shared" si="35"/>
        <v>21213.22</v>
      </c>
      <c r="K65" s="97">
        <f t="shared" si="35"/>
        <v>0</v>
      </c>
      <c r="L65" s="97">
        <f t="shared" si="35"/>
        <v>0</v>
      </c>
      <c r="M65" s="97">
        <f t="shared" si="35"/>
        <v>205.87</v>
      </c>
      <c r="N65" s="97">
        <f t="shared" si="35"/>
        <v>0</v>
      </c>
      <c r="O65" s="97">
        <f t="shared" si="35"/>
        <v>0</v>
      </c>
      <c r="P65" s="97">
        <f t="shared" si="35"/>
        <v>958.16000000000008</v>
      </c>
      <c r="Q65" s="97">
        <f t="shared" si="35"/>
        <v>0</v>
      </c>
      <c r="R65" s="97">
        <f t="shared" si="35"/>
        <v>0</v>
      </c>
      <c r="S65" s="97">
        <f t="shared" si="35"/>
        <v>671.92</v>
      </c>
      <c r="T65" s="97">
        <f t="shared" si="35"/>
        <v>0</v>
      </c>
      <c r="U65" s="97">
        <f t="shared" si="35"/>
        <v>0</v>
      </c>
      <c r="V65" s="97">
        <f t="shared" si="35"/>
        <v>0</v>
      </c>
      <c r="W65" s="97">
        <f t="shared" si="35"/>
        <v>0</v>
      </c>
      <c r="X65" s="97">
        <f t="shared" si="35"/>
        <v>0</v>
      </c>
      <c r="Y65" s="97">
        <f t="shared" si="35"/>
        <v>0</v>
      </c>
      <c r="Z65" s="97">
        <f t="shared" si="35"/>
        <v>0</v>
      </c>
      <c r="AA65" s="97">
        <f t="shared" si="35"/>
        <v>0</v>
      </c>
      <c r="AB65" s="97">
        <f t="shared" si="35"/>
        <v>0</v>
      </c>
      <c r="AC65" s="98">
        <f t="shared" si="35"/>
        <v>102855.96999999997</v>
      </c>
      <c r="AD65" s="99">
        <f t="shared" si="35"/>
        <v>0</v>
      </c>
      <c r="AE65" s="99">
        <f t="shared" si="35"/>
        <v>0</v>
      </c>
      <c r="AF65" s="99">
        <f t="shared" si="35"/>
        <v>0</v>
      </c>
      <c r="AG65" s="100">
        <f t="shared" si="35"/>
        <v>0</v>
      </c>
      <c r="AH65" s="100">
        <f t="shared" si="35"/>
        <v>21213.22</v>
      </c>
      <c r="AI65" s="100">
        <f t="shared" si="35"/>
        <v>0</v>
      </c>
      <c r="AJ65" s="100">
        <f t="shared" si="35"/>
        <v>0</v>
      </c>
      <c r="AK65" s="100">
        <f t="shared" si="35"/>
        <v>205.87</v>
      </c>
      <c r="AL65" s="100">
        <f t="shared" si="35"/>
        <v>0</v>
      </c>
      <c r="AM65" s="100">
        <f t="shared" si="35"/>
        <v>0</v>
      </c>
      <c r="AN65" s="100">
        <f t="shared" si="35"/>
        <v>958.16000000000008</v>
      </c>
      <c r="AO65" s="100">
        <f t="shared" si="35"/>
        <v>0</v>
      </c>
      <c r="AP65" s="100">
        <f t="shared" si="35"/>
        <v>0</v>
      </c>
      <c r="AQ65" s="100">
        <f t="shared" si="35"/>
        <v>671.92</v>
      </c>
      <c r="AR65" s="100">
        <f t="shared" si="35"/>
        <v>0</v>
      </c>
      <c r="AS65" s="100">
        <f t="shared" si="35"/>
        <v>0</v>
      </c>
      <c r="AT65" s="100">
        <f t="shared" si="35"/>
        <v>0</v>
      </c>
      <c r="AU65" s="97">
        <f t="shared" si="35"/>
        <v>0</v>
      </c>
      <c r="AV65" s="98">
        <f t="shared" si="35"/>
        <v>0</v>
      </c>
      <c r="AW65" s="99">
        <f t="shared" si="35"/>
        <v>0</v>
      </c>
      <c r="AX65" s="99">
        <f t="shared" si="35"/>
        <v>0</v>
      </c>
      <c r="AY65" s="99">
        <f t="shared" si="35"/>
        <v>0</v>
      </c>
      <c r="AZ65" s="100">
        <f t="shared" si="35"/>
        <v>0</v>
      </c>
      <c r="BA65" s="100">
        <f t="shared" si="35"/>
        <v>0</v>
      </c>
      <c r="BB65" s="100">
        <f t="shared" si="35"/>
        <v>0</v>
      </c>
      <c r="BC65" s="100">
        <f t="shared" si="35"/>
        <v>0</v>
      </c>
      <c r="BD65" s="100">
        <f t="shared" si="35"/>
        <v>0</v>
      </c>
      <c r="BE65" s="100">
        <f t="shared" si="35"/>
        <v>0</v>
      </c>
      <c r="BF65" s="100">
        <f t="shared" si="35"/>
        <v>0</v>
      </c>
      <c r="BG65" s="100">
        <f t="shared" si="35"/>
        <v>0</v>
      </c>
      <c r="BH65" s="100">
        <f t="shared" si="35"/>
        <v>0</v>
      </c>
      <c r="BI65" s="100">
        <f t="shared" si="35"/>
        <v>0</v>
      </c>
      <c r="BJ65" s="100">
        <f t="shared" si="35"/>
        <v>0</v>
      </c>
      <c r="BK65" s="100">
        <f t="shared" si="35"/>
        <v>0</v>
      </c>
      <c r="BL65" s="100">
        <f t="shared" si="35"/>
        <v>0</v>
      </c>
      <c r="BM65" s="100">
        <f t="shared" si="35"/>
        <v>0</v>
      </c>
      <c r="BN65" s="97">
        <f t="shared" si="35"/>
        <v>0</v>
      </c>
      <c r="BO65" s="98">
        <f t="shared" si="35"/>
        <v>0</v>
      </c>
      <c r="BP65" s="99">
        <f t="shared" ref="BP65:EA65" si="36">SUM(BP66:BP92)</f>
        <v>0</v>
      </c>
      <c r="BQ65" s="99">
        <f t="shared" si="36"/>
        <v>0</v>
      </c>
      <c r="BR65" s="99">
        <f t="shared" si="36"/>
        <v>0</v>
      </c>
      <c r="BS65" s="100">
        <f t="shared" si="36"/>
        <v>0</v>
      </c>
      <c r="BT65" s="100">
        <f t="shared" si="36"/>
        <v>0</v>
      </c>
      <c r="BU65" s="100">
        <f t="shared" si="36"/>
        <v>0</v>
      </c>
      <c r="BV65" s="100">
        <f t="shared" si="36"/>
        <v>0</v>
      </c>
      <c r="BW65" s="100">
        <f t="shared" si="36"/>
        <v>0</v>
      </c>
      <c r="BX65" s="100">
        <f t="shared" si="36"/>
        <v>0</v>
      </c>
      <c r="BY65" s="100">
        <f t="shared" si="36"/>
        <v>0</v>
      </c>
      <c r="BZ65" s="100">
        <f t="shared" si="36"/>
        <v>0</v>
      </c>
      <c r="CA65" s="100">
        <f t="shared" si="36"/>
        <v>0</v>
      </c>
      <c r="CB65" s="100">
        <f t="shared" si="36"/>
        <v>0</v>
      </c>
      <c r="CC65" s="100">
        <f t="shared" si="36"/>
        <v>0</v>
      </c>
      <c r="CD65" s="100">
        <f t="shared" si="36"/>
        <v>0</v>
      </c>
      <c r="CE65" s="100">
        <f t="shared" si="36"/>
        <v>0</v>
      </c>
      <c r="CF65" s="100">
        <f t="shared" si="36"/>
        <v>0</v>
      </c>
      <c r="CG65" s="97">
        <f t="shared" si="36"/>
        <v>0</v>
      </c>
      <c r="CH65" s="98">
        <f t="shared" si="36"/>
        <v>0</v>
      </c>
      <c r="CI65" s="99">
        <f t="shared" si="36"/>
        <v>0</v>
      </c>
      <c r="CJ65" s="99">
        <f t="shared" si="36"/>
        <v>0</v>
      </c>
      <c r="CK65" s="99">
        <f t="shared" si="36"/>
        <v>0</v>
      </c>
      <c r="CL65" s="100">
        <f t="shared" si="36"/>
        <v>0</v>
      </c>
      <c r="CM65" s="100">
        <f t="shared" si="36"/>
        <v>0</v>
      </c>
      <c r="CN65" s="100">
        <f t="shared" si="36"/>
        <v>0</v>
      </c>
      <c r="CO65" s="100">
        <f t="shared" si="36"/>
        <v>0</v>
      </c>
      <c r="CP65" s="100">
        <f t="shared" si="36"/>
        <v>0</v>
      </c>
      <c r="CQ65" s="100">
        <f t="shared" si="36"/>
        <v>0</v>
      </c>
      <c r="CR65" s="100">
        <f t="shared" si="36"/>
        <v>0</v>
      </c>
      <c r="CS65" s="100">
        <f t="shared" si="36"/>
        <v>0</v>
      </c>
      <c r="CT65" s="100">
        <f t="shared" si="36"/>
        <v>0</v>
      </c>
      <c r="CU65" s="100">
        <f t="shared" si="36"/>
        <v>0</v>
      </c>
      <c r="CV65" s="100">
        <f t="shared" si="36"/>
        <v>0</v>
      </c>
      <c r="CW65" s="100">
        <f t="shared" si="36"/>
        <v>0</v>
      </c>
      <c r="CX65" s="100">
        <f t="shared" si="36"/>
        <v>0</v>
      </c>
      <c r="CY65" s="100">
        <f t="shared" si="36"/>
        <v>0</v>
      </c>
      <c r="CZ65" s="97">
        <f t="shared" si="36"/>
        <v>0</v>
      </c>
      <c r="DA65" s="98">
        <f t="shared" si="36"/>
        <v>0</v>
      </c>
      <c r="DB65" s="99">
        <f t="shared" si="36"/>
        <v>0</v>
      </c>
      <c r="DC65" s="99">
        <f t="shared" si="36"/>
        <v>0</v>
      </c>
      <c r="DD65" s="99">
        <f t="shared" si="36"/>
        <v>0</v>
      </c>
      <c r="DE65" s="100">
        <f t="shared" si="36"/>
        <v>0</v>
      </c>
      <c r="DF65" s="100">
        <f t="shared" si="36"/>
        <v>0</v>
      </c>
      <c r="DG65" s="100">
        <f t="shared" si="36"/>
        <v>0</v>
      </c>
      <c r="DH65" s="100">
        <f t="shared" si="36"/>
        <v>0</v>
      </c>
      <c r="DI65" s="100">
        <f t="shared" si="36"/>
        <v>0</v>
      </c>
      <c r="DJ65" s="100">
        <f t="shared" si="36"/>
        <v>0</v>
      </c>
      <c r="DK65" s="100">
        <f t="shared" si="36"/>
        <v>0</v>
      </c>
      <c r="DL65" s="100">
        <f t="shared" si="36"/>
        <v>0</v>
      </c>
      <c r="DM65" s="100">
        <f t="shared" si="36"/>
        <v>0</v>
      </c>
      <c r="DN65" s="100">
        <f t="shared" si="36"/>
        <v>0</v>
      </c>
      <c r="DO65" s="100">
        <f t="shared" si="36"/>
        <v>0</v>
      </c>
      <c r="DP65" s="100">
        <f t="shared" si="36"/>
        <v>0</v>
      </c>
      <c r="DQ65" s="100">
        <f t="shared" si="36"/>
        <v>0</v>
      </c>
      <c r="DR65" s="100">
        <f t="shared" si="36"/>
        <v>0</v>
      </c>
      <c r="DS65" s="97">
        <f t="shared" si="36"/>
        <v>0</v>
      </c>
      <c r="DT65" s="98">
        <f t="shared" si="36"/>
        <v>0</v>
      </c>
      <c r="DU65" s="99">
        <f t="shared" si="36"/>
        <v>0</v>
      </c>
      <c r="DV65" s="99">
        <f t="shared" si="36"/>
        <v>0</v>
      </c>
      <c r="DW65" s="99">
        <f t="shared" si="36"/>
        <v>0</v>
      </c>
      <c r="DX65" s="100">
        <f t="shared" si="36"/>
        <v>0</v>
      </c>
      <c r="DY65" s="100">
        <f t="shared" si="36"/>
        <v>0</v>
      </c>
      <c r="DZ65" s="100">
        <f t="shared" si="36"/>
        <v>0</v>
      </c>
      <c r="EA65" s="100">
        <f t="shared" si="36"/>
        <v>0</v>
      </c>
      <c r="EB65" s="100">
        <f t="shared" ref="EB65:GP65" si="37">SUM(EB66:EB92)</f>
        <v>0</v>
      </c>
      <c r="EC65" s="100">
        <f t="shared" si="37"/>
        <v>0</v>
      </c>
      <c r="ED65" s="100">
        <f t="shared" si="37"/>
        <v>0</v>
      </c>
      <c r="EE65" s="100">
        <f t="shared" si="37"/>
        <v>0</v>
      </c>
      <c r="EF65" s="100">
        <f t="shared" si="37"/>
        <v>0</v>
      </c>
      <c r="EG65" s="100">
        <f t="shared" si="37"/>
        <v>0</v>
      </c>
      <c r="EH65" s="100">
        <f t="shared" si="37"/>
        <v>0</v>
      </c>
      <c r="EI65" s="100">
        <f t="shared" si="37"/>
        <v>0</v>
      </c>
      <c r="EJ65" s="100">
        <f t="shared" si="37"/>
        <v>0</v>
      </c>
      <c r="EK65" s="100">
        <f t="shared" si="37"/>
        <v>0</v>
      </c>
      <c r="EL65" s="97">
        <f t="shared" si="37"/>
        <v>0</v>
      </c>
      <c r="EM65" s="98">
        <f t="shared" si="37"/>
        <v>0</v>
      </c>
      <c r="EN65" s="99">
        <f t="shared" si="37"/>
        <v>0</v>
      </c>
      <c r="EO65" s="99">
        <f t="shared" si="37"/>
        <v>0</v>
      </c>
      <c r="EP65" s="99">
        <f t="shared" si="37"/>
        <v>0</v>
      </c>
      <c r="EQ65" s="100">
        <f t="shared" si="37"/>
        <v>0</v>
      </c>
      <c r="ER65" s="100">
        <f t="shared" si="37"/>
        <v>0</v>
      </c>
      <c r="ES65" s="100">
        <f t="shared" si="37"/>
        <v>0</v>
      </c>
      <c r="ET65" s="100">
        <f t="shared" si="37"/>
        <v>0</v>
      </c>
      <c r="EU65" s="100">
        <f t="shared" si="37"/>
        <v>0</v>
      </c>
      <c r="EV65" s="100">
        <f t="shared" si="37"/>
        <v>0</v>
      </c>
      <c r="EW65" s="100">
        <f t="shared" si="37"/>
        <v>0</v>
      </c>
      <c r="EX65" s="100">
        <f t="shared" si="37"/>
        <v>0</v>
      </c>
      <c r="EY65" s="100">
        <f t="shared" si="37"/>
        <v>0</v>
      </c>
      <c r="EZ65" s="100">
        <f t="shared" si="37"/>
        <v>0</v>
      </c>
      <c r="FA65" s="100">
        <f t="shared" si="37"/>
        <v>0</v>
      </c>
      <c r="FB65" s="100">
        <f t="shared" si="37"/>
        <v>0</v>
      </c>
      <c r="FC65" s="100">
        <f t="shared" si="37"/>
        <v>0</v>
      </c>
      <c r="FD65" s="100">
        <f t="shared" si="37"/>
        <v>0</v>
      </c>
      <c r="FE65" s="101">
        <f t="shared" si="37"/>
        <v>0</v>
      </c>
    </row>
    <row r="66" spans="2:161" s="6" customFormat="1" ht="13.2" hidden="1">
      <c r="B66" s="112" t="s">
        <v>115</v>
      </c>
      <c r="C66" s="103" t="s">
        <v>116</v>
      </c>
      <c r="D66" s="81">
        <f t="shared" ref="D66:D92" si="38">SUM(E66:AB66)</f>
        <v>0</v>
      </c>
      <c r="E66" s="82">
        <f t="shared" ref="E66:T81" si="39">SUM(AC66,AV66,BO66,CH66,DA66,DT66,EM66)</f>
        <v>0</v>
      </c>
      <c r="F66" s="83">
        <f t="shared" si="39"/>
        <v>0</v>
      </c>
      <c r="G66" s="83">
        <f t="shared" si="39"/>
        <v>0</v>
      </c>
      <c r="H66" s="83">
        <f t="shared" si="39"/>
        <v>0</v>
      </c>
      <c r="I66" s="84">
        <f t="shared" si="39"/>
        <v>0</v>
      </c>
      <c r="J66" s="84">
        <f t="shared" si="39"/>
        <v>0</v>
      </c>
      <c r="K66" s="84">
        <f t="shared" si="39"/>
        <v>0</v>
      </c>
      <c r="L66" s="84">
        <f t="shared" si="39"/>
        <v>0</v>
      </c>
      <c r="M66" s="84">
        <f t="shared" si="39"/>
        <v>0</v>
      </c>
      <c r="N66" s="84">
        <f t="shared" si="39"/>
        <v>0</v>
      </c>
      <c r="O66" s="84">
        <f t="shared" si="39"/>
        <v>0</v>
      </c>
      <c r="P66" s="84">
        <f t="shared" si="39"/>
        <v>0</v>
      </c>
      <c r="Q66" s="84">
        <f t="shared" si="39"/>
        <v>0</v>
      </c>
      <c r="R66" s="84">
        <f t="shared" si="39"/>
        <v>0</v>
      </c>
      <c r="S66" s="84">
        <f t="shared" si="39"/>
        <v>0</v>
      </c>
      <c r="T66" s="84">
        <f t="shared" si="39"/>
        <v>0</v>
      </c>
      <c r="U66" s="84">
        <f t="shared" ref="U66:V81" si="40">SUM(AS66,BL66,CE66,CX66,DQ66,EJ66,FC66)</f>
        <v>0</v>
      </c>
      <c r="V66" s="84">
        <f t="shared" si="40"/>
        <v>0</v>
      </c>
      <c r="W66" s="84">
        <f>SIS064_F_Pletrosdarbunu1Elektrosenergi5</f>
        <v>0</v>
      </c>
      <c r="X66" s="84">
        <f>SUM(SIS062_F_Pletrosdarbunu1Geriamojovande1,SIS063_F_Pletrosdarbunu1Geriamojovande1,SIS065_F_Pletrosdarbunu1Geriamojovande1)</f>
        <v>0</v>
      </c>
      <c r="Y66" s="84">
        <f>SUM(SIS062_F_Pletrosdarbunu1Paslaugaproduk8,SIS063_F_Pletrosdarbunu1Paslaugaproduk8,SIS065_F_Pletrosdarbunu1Paslaugaproduk8)</f>
        <v>0</v>
      </c>
      <c r="Z66" s="84">
        <f>SIS064_F_Pletrosdarbunu1Elektrosenergi6</f>
        <v>0</v>
      </c>
      <c r="AA66" s="84">
        <f>SUM(SIS062_F_Pletrosdarbunu1Konkurencinesi1,SIS063_F_Pletrosdarbunu1Konkurencinesi1,SIS065_F_Pletrosdarbunu1Konkurencinesi1,)</f>
        <v>0</v>
      </c>
      <c r="AB66" s="84">
        <f>SUM(SIS062_F_Pletrosdarbunu1Paslaugaproduk9,SIS063_F_Pletrosdarbunu1Paslaugaproduk9,SIS065_F_Pletrosdarbunu1Paslaugaproduk9)</f>
        <v>0</v>
      </c>
      <c r="AC66" s="85">
        <v>0</v>
      </c>
      <c r="AD66" s="86">
        <v>0</v>
      </c>
      <c r="AE66" s="86">
        <v>0</v>
      </c>
      <c r="AF66" s="86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/>
      <c r="AS66" s="87"/>
      <c r="AT66" s="87"/>
      <c r="AU66" s="88"/>
      <c r="AV66" s="85"/>
      <c r="AW66" s="86"/>
      <c r="AX66" s="86"/>
      <c r="AY66" s="86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8"/>
      <c r="BO66" s="85"/>
      <c r="BP66" s="86"/>
      <c r="BQ66" s="86"/>
      <c r="BR66" s="86"/>
      <c r="BS66" s="87"/>
      <c r="BT66" s="87"/>
      <c r="BU66" s="87"/>
      <c r="BV66" s="87"/>
      <c r="BW66" s="87"/>
      <c r="BX66" s="87"/>
      <c r="BY66" s="87"/>
      <c r="BZ66" s="87"/>
      <c r="CA66" s="87"/>
      <c r="CB66" s="87"/>
      <c r="CC66" s="87"/>
      <c r="CD66" s="87"/>
      <c r="CE66" s="87"/>
      <c r="CF66" s="87"/>
      <c r="CG66" s="88"/>
      <c r="CH66" s="85"/>
      <c r="CI66" s="86"/>
      <c r="CJ66" s="86"/>
      <c r="CK66" s="86"/>
      <c r="CL66" s="87"/>
      <c r="CM66" s="87"/>
      <c r="CN66" s="87"/>
      <c r="CO66" s="87"/>
      <c r="CP66" s="87"/>
      <c r="CQ66" s="87"/>
      <c r="CR66" s="87"/>
      <c r="CS66" s="87"/>
      <c r="CT66" s="87"/>
      <c r="CU66" s="87"/>
      <c r="CV66" s="87"/>
      <c r="CW66" s="87"/>
      <c r="CX66" s="87"/>
      <c r="CY66" s="87"/>
      <c r="CZ66" s="88"/>
      <c r="DA66" s="85"/>
      <c r="DB66" s="86"/>
      <c r="DC66" s="86"/>
      <c r="DD66" s="86"/>
      <c r="DE66" s="87"/>
      <c r="DF66" s="87"/>
      <c r="DG66" s="87"/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8"/>
      <c r="DT66" s="85"/>
      <c r="DU66" s="86"/>
      <c r="DV66" s="86"/>
      <c r="DW66" s="86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8"/>
      <c r="EM66" s="85"/>
      <c r="EN66" s="86"/>
      <c r="EO66" s="86"/>
      <c r="EP66" s="86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  <c r="FD66" s="87"/>
      <c r="FE66" s="89"/>
    </row>
    <row r="67" spans="2:161" s="6" customFormat="1" ht="13.2" hidden="1">
      <c r="B67" s="112" t="s">
        <v>117</v>
      </c>
      <c r="C67" s="103" t="s">
        <v>118</v>
      </c>
      <c r="D67" s="81">
        <f t="shared" si="38"/>
        <v>0</v>
      </c>
      <c r="E67" s="82">
        <f t="shared" si="39"/>
        <v>0</v>
      </c>
      <c r="F67" s="83">
        <f t="shared" si="39"/>
        <v>0</v>
      </c>
      <c r="G67" s="83">
        <f t="shared" si="39"/>
        <v>0</v>
      </c>
      <c r="H67" s="83">
        <f t="shared" si="39"/>
        <v>0</v>
      </c>
      <c r="I67" s="84">
        <f t="shared" si="39"/>
        <v>0</v>
      </c>
      <c r="J67" s="84">
        <f t="shared" si="39"/>
        <v>0</v>
      </c>
      <c r="K67" s="84">
        <f t="shared" si="39"/>
        <v>0</v>
      </c>
      <c r="L67" s="84">
        <f t="shared" si="39"/>
        <v>0</v>
      </c>
      <c r="M67" s="84">
        <f t="shared" si="39"/>
        <v>0</v>
      </c>
      <c r="N67" s="84">
        <f t="shared" si="39"/>
        <v>0</v>
      </c>
      <c r="O67" s="84">
        <f t="shared" si="39"/>
        <v>0</v>
      </c>
      <c r="P67" s="84">
        <f t="shared" si="39"/>
        <v>0</v>
      </c>
      <c r="Q67" s="84">
        <f t="shared" si="39"/>
        <v>0</v>
      </c>
      <c r="R67" s="84">
        <f t="shared" si="39"/>
        <v>0</v>
      </c>
      <c r="S67" s="84">
        <f t="shared" si="39"/>
        <v>0</v>
      </c>
      <c r="T67" s="84">
        <f t="shared" si="39"/>
        <v>0</v>
      </c>
      <c r="U67" s="84">
        <f t="shared" si="40"/>
        <v>0</v>
      </c>
      <c r="V67" s="84">
        <f t="shared" si="40"/>
        <v>0</v>
      </c>
      <c r="W67" s="84">
        <f>SIS064_F_Prestizonuside1Elektrosenergi5</f>
        <v>0</v>
      </c>
      <c r="X67" s="84">
        <f>SUM(SIS062_F_Prestizonuside1Geriamojovande1,SIS063_F_Prestizonuside1Geriamojovande1,SIS065_F_Prestizonuside1Geriamojovande1)</f>
        <v>0</v>
      </c>
      <c r="Y67" s="84">
        <f>SUM(SIS062_F_Prestizonuside1Paslaugaproduk8,SIS063_F_Prestizonuside1Paslaugaproduk8,SIS065_F_Prestizonuside1Paslaugaproduk8)</f>
        <v>0</v>
      </c>
      <c r="Z67" s="84">
        <f>SIS064_F_Prestizonuside1Elektrosenergi6</f>
        <v>0</v>
      </c>
      <c r="AA67" s="84">
        <f>SUM(SIS062_F_Prestizonuside1Konkurencinesi1,SIS063_F_Prestizonuside1Konkurencinesi1,SIS065_F_Prestizonuside1Konkurencinesi1,)</f>
        <v>0</v>
      </c>
      <c r="AB67" s="84">
        <f>SUM(SIS062_F_Prestizonuside1Paslaugaproduk9,SIS063_F_Prestizonuside1Paslaugaproduk9,SIS065_F_Prestizonuside1Paslaugaproduk9)</f>
        <v>0</v>
      </c>
      <c r="AC67" s="85">
        <v>0</v>
      </c>
      <c r="AD67" s="86">
        <v>0</v>
      </c>
      <c r="AE67" s="86">
        <v>0</v>
      </c>
      <c r="AF67" s="86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/>
      <c r="AS67" s="87"/>
      <c r="AT67" s="87"/>
      <c r="AU67" s="88"/>
      <c r="AV67" s="85"/>
      <c r="AW67" s="86"/>
      <c r="AX67" s="86"/>
      <c r="AY67" s="86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8"/>
      <c r="BO67" s="85"/>
      <c r="BP67" s="86"/>
      <c r="BQ67" s="86"/>
      <c r="BR67" s="86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8"/>
      <c r="CH67" s="85"/>
      <c r="CI67" s="86"/>
      <c r="CJ67" s="86"/>
      <c r="CK67" s="86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8"/>
      <c r="DA67" s="85"/>
      <c r="DB67" s="86"/>
      <c r="DC67" s="86"/>
      <c r="DD67" s="86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8"/>
      <c r="DT67" s="85"/>
      <c r="DU67" s="86"/>
      <c r="DV67" s="86"/>
      <c r="DW67" s="86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8"/>
      <c r="EM67" s="85"/>
      <c r="EN67" s="86"/>
      <c r="EO67" s="86"/>
      <c r="EP67" s="86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9"/>
    </row>
    <row r="68" spans="2:161" s="6" customFormat="1" ht="13.2" hidden="1">
      <c r="B68" s="112" t="s">
        <v>119</v>
      </c>
      <c r="C68" s="103" t="s">
        <v>120</v>
      </c>
      <c r="D68" s="81">
        <f t="shared" si="38"/>
        <v>0</v>
      </c>
      <c r="E68" s="82">
        <f t="shared" si="39"/>
        <v>0</v>
      </c>
      <c r="F68" s="83">
        <f t="shared" si="39"/>
        <v>0</v>
      </c>
      <c r="G68" s="83">
        <f t="shared" si="39"/>
        <v>0</v>
      </c>
      <c r="H68" s="83">
        <f t="shared" si="39"/>
        <v>0</v>
      </c>
      <c r="I68" s="84">
        <f t="shared" si="39"/>
        <v>0</v>
      </c>
      <c r="J68" s="84">
        <f t="shared" si="39"/>
        <v>0</v>
      </c>
      <c r="K68" s="84">
        <f t="shared" si="39"/>
        <v>0</v>
      </c>
      <c r="L68" s="84">
        <f t="shared" si="39"/>
        <v>0</v>
      </c>
      <c r="M68" s="84">
        <f t="shared" si="39"/>
        <v>0</v>
      </c>
      <c r="N68" s="84">
        <f t="shared" si="39"/>
        <v>0</v>
      </c>
      <c r="O68" s="84">
        <f t="shared" si="39"/>
        <v>0</v>
      </c>
      <c r="P68" s="84">
        <f t="shared" si="39"/>
        <v>0</v>
      </c>
      <c r="Q68" s="84">
        <f t="shared" si="39"/>
        <v>0</v>
      </c>
      <c r="R68" s="84">
        <f t="shared" si="39"/>
        <v>0</v>
      </c>
      <c r="S68" s="84">
        <f t="shared" si="39"/>
        <v>0</v>
      </c>
      <c r="T68" s="84">
        <f t="shared" si="39"/>
        <v>0</v>
      </c>
      <c r="U68" s="84">
        <f t="shared" si="40"/>
        <v>0</v>
      </c>
      <c r="V68" s="84">
        <f t="shared" si="40"/>
        <v>0</v>
      </c>
      <c r="W68" s="84">
        <f>SIS064_F_Patentulicenci1Elektrosenergi5</f>
        <v>0</v>
      </c>
      <c r="X68" s="84">
        <f>SUM(SIS062_F_Patentulicenci1Geriamojovande1,SIS063_F_Patentulicenci1Geriamojovande1,SIS065_F_Patentulicenci1Geriamojovande1)</f>
        <v>0</v>
      </c>
      <c r="Y68" s="84">
        <f>SUM(SIS062_F_Patentulicenci1Paslaugaproduk8,SIS063_F_Patentulicenci1Paslaugaproduk8,SIS065_F_Patentulicenci1Paslaugaproduk8)</f>
        <v>0</v>
      </c>
      <c r="Z68" s="84">
        <f>SIS064_F_Patentulicenci1Elektrosenergi6</f>
        <v>0</v>
      </c>
      <c r="AA68" s="84">
        <f>SUM(SIS062_F_Patentulicenci1Konkurencinesi1,SIS063_F_Patentulicenci1Konkurencinesi1,SIS065_F_Patentulicenci1Konkurencinesi1,)</f>
        <v>0</v>
      </c>
      <c r="AB68" s="84">
        <f>SUM(SIS062_F_Patentulicenci1Paslaugaproduk9,SIS063_F_Patentulicenci1Paslaugaproduk9,SIS065_F_Patentulicenci1Paslaugaproduk9)</f>
        <v>0</v>
      </c>
      <c r="AC68" s="85">
        <v>0</v>
      </c>
      <c r="AD68" s="86">
        <v>0</v>
      </c>
      <c r="AE68" s="86">
        <v>0</v>
      </c>
      <c r="AF68" s="86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/>
      <c r="AS68" s="87"/>
      <c r="AT68" s="87"/>
      <c r="AU68" s="88"/>
      <c r="AV68" s="85"/>
      <c r="AW68" s="86"/>
      <c r="AX68" s="86"/>
      <c r="AY68" s="86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8"/>
      <c r="BO68" s="85"/>
      <c r="BP68" s="86"/>
      <c r="BQ68" s="86"/>
      <c r="BR68" s="86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8"/>
      <c r="CH68" s="85"/>
      <c r="CI68" s="86"/>
      <c r="CJ68" s="86"/>
      <c r="CK68" s="86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87"/>
      <c r="CW68" s="87"/>
      <c r="CX68" s="87"/>
      <c r="CY68" s="87"/>
      <c r="CZ68" s="88"/>
      <c r="DA68" s="85"/>
      <c r="DB68" s="86"/>
      <c r="DC68" s="86"/>
      <c r="DD68" s="86"/>
      <c r="DE68" s="87"/>
      <c r="DF68" s="87"/>
      <c r="DG68" s="87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8"/>
      <c r="DT68" s="85"/>
      <c r="DU68" s="86"/>
      <c r="DV68" s="86"/>
      <c r="DW68" s="86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8"/>
      <c r="EM68" s="85"/>
      <c r="EN68" s="86"/>
      <c r="EO68" s="86"/>
      <c r="EP68" s="86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9"/>
    </row>
    <row r="69" spans="2:161" s="6" customFormat="1" ht="13.2" hidden="1">
      <c r="B69" s="112" t="s">
        <v>121</v>
      </c>
      <c r="C69" s="103" t="s">
        <v>122</v>
      </c>
      <c r="D69" s="81">
        <f t="shared" si="38"/>
        <v>0</v>
      </c>
      <c r="E69" s="82">
        <f t="shared" si="39"/>
        <v>0</v>
      </c>
      <c r="F69" s="83">
        <f t="shared" si="39"/>
        <v>0</v>
      </c>
      <c r="G69" s="83">
        <f t="shared" si="39"/>
        <v>0</v>
      </c>
      <c r="H69" s="83">
        <f t="shared" si="39"/>
        <v>0</v>
      </c>
      <c r="I69" s="84">
        <f t="shared" si="39"/>
        <v>0</v>
      </c>
      <c r="J69" s="84">
        <f t="shared" si="39"/>
        <v>0</v>
      </c>
      <c r="K69" s="84">
        <f t="shared" si="39"/>
        <v>0</v>
      </c>
      <c r="L69" s="84">
        <f t="shared" si="39"/>
        <v>0</v>
      </c>
      <c r="M69" s="84">
        <f t="shared" si="39"/>
        <v>0</v>
      </c>
      <c r="N69" s="84">
        <f t="shared" si="39"/>
        <v>0</v>
      </c>
      <c r="O69" s="84">
        <f t="shared" si="39"/>
        <v>0</v>
      </c>
      <c r="P69" s="84">
        <f t="shared" si="39"/>
        <v>0</v>
      </c>
      <c r="Q69" s="84">
        <f t="shared" si="39"/>
        <v>0</v>
      </c>
      <c r="R69" s="84">
        <f t="shared" si="39"/>
        <v>0</v>
      </c>
      <c r="S69" s="84">
        <f t="shared" si="39"/>
        <v>0</v>
      </c>
      <c r="T69" s="84">
        <f t="shared" si="39"/>
        <v>0</v>
      </c>
      <c r="U69" s="84">
        <f t="shared" si="40"/>
        <v>0</v>
      </c>
      <c r="V69" s="84">
        <f t="shared" si="40"/>
        <v>0</v>
      </c>
      <c r="W69" s="84">
        <f>SIS064_F_Programinesira1Elektrosenergi5</f>
        <v>0</v>
      </c>
      <c r="X69" s="84">
        <f>SUM(SIS062_F_Programinesira1Geriamojovande1,SIS063_F_Programinesira1Geriamojovande1,SIS065_F_Programinesira1Geriamojovande1)</f>
        <v>0</v>
      </c>
      <c r="Y69" s="84">
        <f>SUM(SIS062_F_Programinesira1Paslaugaproduk8,SIS063_F_Programinesira1Paslaugaproduk8,SIS065_F_Programinesira1Paslaugaproduk8)</f>
        <v>0</v>
      </c>
      <c r="Z69" s="84">
        <f>SIS064_F_Programinesira1Elektrosenergi6</f>
        <v>0</v>
      </c>
      <c r="AA69" s="84">
        <f>SUM(SIS062_F_Programinesira1Konkurencinesi1,SIS063_F_Programinesira1Konkurencinesi1,SIS065_F_Programinesira1Konkurencinesi1,)</f>
        <v>0</v>
      </c>
      <c r="AB69" s="84">
        <f>SUM(SIS062_F_Programinesira1Paslaugaproduk9,SIS063_F_Programinesira1Paslaugaproduk9,SIS065_F_Programinesira1Paslaugaproduk9)</f>
        <v>0</v>
      </c>
      <c r="AC69" s="85">
        <v>0</v>
      </c>
      <c r="AD69" s="86">
        <v>0</v>
      </c>
      <c r="AE69" s="86">
        <v>0</v>
      </c>
      <c r="AF69" s="86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/>
      <c r="AS69" s="87"/>
      <c r="AT69" s="87"/>
      <c r="AU69" s="88"/>
      <c r="AV69" s="85"/>
      <c r="AW69" s="86"/>
      <c r="AX69" s="86"/>
      <c r="AY69" s="86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8"/>
      <c r="BO69" s="85"/>
      <c r="BP69" s="86"/>
      <c r="BQ69" s="86"/>
      <c r="BR69" s="86"/>
      <c r="BS69" s="87"/>
      <c r="BT69" s="87"/>
      <c r="BU69" s="87"/>
      <c r="BV69" s="87"/>
      <c r="BW69" s="87"/>
      <c r="BX69" s="87"/>
      <c r="BY69" s="87"/>
      <c r="BZ69" s="87"/>
      <c r="CA69" s="87"/>
      <c r="CB69" s="87"/>
      <c r="CC69" s="87"/>
      <c r="CD69" s="87"/>
      <c r="CE69" s="87"/>
      <c r="CF69" s="87"/>
      <c r="CG69" s="88"/>
      <c r="CH69" s="85"/>
      <c r="CI69" s="86"/>
      <c r="CJ69" s="86"/>
      <c r="CK69" s="86"/>
      <c r="CL69" s="87"/>
      <c r="CM69" s="87"/>
      <c r="CN69" s="87"/>
      <c r="CO69" s="87"/>
      <c r="CP69" s="87"/>
      <c r="CQ69" s="87"/>
      <c r="CR69" s="87"/>
      <c r="CS69" s="87"/>
      <c r="CT69" s="87"/>
      <c r="CU69" s="87"/>
      <c r="CV69" s="87"/>
      <c r="CW69" s="87"/>
      <c r="CX69" s="87"/>
      <c r="CY69" s="87"/>
      <c r="CZ69" s="88"/>
      <c r="DA69" s="85"/>
      <c r="DB69" s="86"/>
      <c r="DC69" s="86"/>
      <c r="DD69" s="86"/>
      <c r="DE69" s="87"/>
      <c r="DF69" s="87"/>
      <c r="DG69" s="87"/>
      <c r="DH69" s="87"/>
      <c r="DI69" s="87"/>
      <c r="DJ69" s="87"/>
      <c r="DK69" s="87"/>
      <c r="DL69" s="87"/>
      <c r="DM69" s="87"/>
      <c r="DN69" s="87"/>
      <c r="DO69" s="87"/>
      <c r="DP69" s="87"/>
      <c r="DQ69" s="87"/>
      <c r="DR69" s="87"/>
      <c r="DS69" s="88"/>
      <c r="DT69" s="85"/>
      <c r="DU69" s="86"/>
      <c r="DV69" s="86"/>
      <c r="DW69" s="86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88"/>
      <c r="EM69" s="85"/>
      <c r="EN69" s="86"/>
      <c r="EO69" s="86"/>
      <c r="EP69" s="86"/>
      <c r="EQ69" s="87"/>
      <c r="ER69" s="87"/>
      <c r="ES69" s="87"/>
      <c r="ET69" s="87"/>
      <c r="EU69" s="87"/>
      <c r="EV69" s="87"/>
      <c r="EW69" s="87"/>
      <c r="EX69" s="87"/>
      <c r="EY69" s="87"/>
      <c r="EZ69" s="87"/>
      <c r="FA69" s="87"/>
      <c r="FB69" s="87"/>
      <c r="FC69" s="87"/>
      <c r="FD69" s="87"/>
      <c r="FE69" s="89"/>
    </row>
    <row r="70" spans="2:161" s="6" customFormat="1" ht="13.2" hidden="1">
      <c r="B70" s="112" t="s">
        <v>123</v>
      </c>
      <c r="C70" s="113" t="s">
        <v>124</v>
      </c>
      <c r="D70" s="81">
        <f t="shared" si="38"/>
        <v>0</v>
      </c>
      <c r="E70" s="82">
        <f t="shared" si="39"/>
        <v>0</v>
      </c>
      <c r="F70" s="83">
        <f t="shared" si="39"/>
        <v>0</v>
      </c>
      <c r="G70" s="83">
        <f t="shared" si="39"/>
        <v>0</v>
      </c>
      <c r="H70" s="83">
        <f t="shared" si="39"/>
        <v>0</v>
      </c>
      <c r="I70" s="84">
        <f t="shared" si="39"/>
        <v>0</v>
      </c>
      <c r="J70" s="84">
        <f t="shared" si="39"/>
        <v>0</v>
      </c>
      <c r="K70" s="84">
        <f t="shared" si="39"/>
        <v>0</v>
      </c>
      <c r="L70" s="84">
        <f t="shared" si="39"/>
        <v>0</v>
      </c>
      <c r="M70" s="84">
        <f t="shared" si="39"/>
        <v>0</v>
      </c>
      <c r="N70" s="84">
        <f t="shared" si="39"/>
        <v>0</v>
      </c>
      <c r="O70" s="84">
        <f t="shared" si="39"/>
        <v>0</v>
      </c>
      <c r="P70" s="84">
        <f t="shared" si="39"/>
        <v>0</v>
      </c>
      <c r="Q70" s="84">
        <f t="shared" si="39"/>
        <v>0</v>
      </c>
      <c r="R70" s="84">
        <f t="shared" si="39"/>
        <v>0</v>
      </c>
      <c r="S70" s="84">
        <f t="shared" si="39"/>
        <v>0</v>
      </c>
      <c r="T70" s="84">
        <f t="shared" si="39"/>
        <v>0</v>
      </c>
      <c r="U70" s="84">
        <f t="shared" si="40"/>
        <v>0</v>
      </c>
      <c r="V70" s="84">
        <f t="shared" si="40"/>
        <v>0</v>
      </c>
      <c r="W70" s="84">
        <f>SIS064_F_Kitonematerial1Elektrosenergi5</f>
        <v>0</v>
      </c>
      <c r="X70" s="84">
        <f>SUM(SIS062_F_Kitonematerial1Geriamojovande1,SIS063_F_Kitonematerial1Geriamojovande1,SIS065_F_Kitonematerial1Geriamojovande1)</f>
        <v>0</v>
      </c>
      <c r="Y70" s="84">
        <f>SUM(SIS062_F_Kitonematerial1Paslaugaproduk8,SIS063_F_Kitonematerial1Paslaugaproduk8,SIS065_F_Kitonematerial1Paslaugaproduk8)</f>
        <v>0</v>
      </c>
      <c r="Z70" s="84">
        <f>SIS064_F_Kitonematerial1Elektrosenergi6</f>
        <v>0</v>
      </c>
      <c r="AA70" s="84">
        <f>SUM(SIS062_F_Kitonematerial1Konkurencinesi1,SIS063_F_Kitonematerial1Konkurencinesi1,SIS065_F_Kitonematerial1Konkurencinesi1,)</f>
        <v>0</v>
      </c>
      <c r="AB70" s="84">
        <f>SUM(SIS062_F_Kitonematerial1Paslaugaproduk9,SIS063_F_Kitonematerial1Paslaugaproduk9,SIS065_F_Kitonematerial1Paslaugaproduk9)</f>
        <v>0</v>
      </c>
      <c r="AC70" s="85">
        <v>0</v>
      </c>
      <c r="AD70" s="86">
        <v>0</v>
      </c>
      <c r="AE70" s="86">
        <v>0</v>
      </c>
      <c r="AF70" s="86">
        <v>0</v>
      </c>
      <c r="AG70" s="87">
        <v>0</v>
      </c>
      <c r="AH70" s="87">
        <v>0</v>
      </c>
      <c r="AI70" s="87">
        <v>0</v>
      </c>
      <c r="AJ70" s="87">
        <v>0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/>
      <c r="AS70" s="87"/>
      <c r="AT70" s="87"/>
      <c r="AU70" s="88"/>
      <c r="AV70" s="85"/>
      <c r="AW70" s="86"/>
      <c r="AX70" s="86"/>
      <c r="AY70" s="86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8"/>
      <c r="BO70" s="85"/>
      <c r="BP70" s="86"/>
      <c r="BQ70" s="86"/>
      <c r="BR70" s="86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87"/>
      <c r="CE70" s="87"/>
      <c r="CF70" s="87"/>
      <c r="CG70" s="88"/>
      <c r="CH70" s="85"/>
      <c r="CI70" s="86"/>
      <c r="CJ70" s="86"/>
      <c r="CK70" s="86"/>
      <c r="CL70" s="87"/>
      <c r="CM70" s="87"/>
      <c r="CN70" s="87"/>
      <c r="CO70" s="87"/>
      <c r="CP70" s="87"/>
      <c r="CQ70" s="87"/>
      <c r="CR70" s="87"/>
      <c r="CS70" s="87"/>
      <c r="CT70" s="87"/>
      <c r="CU70" s="87"/>
      <c r="CV70" s="87"/>
      <c r="CW70" s="87"/>
      <c r="CX70" s="87"/>
      <c r="CY70" s="87"/>
      <c r="CZ70" s="88"/>
      <c r="DA70" s="85"/>
      <c r="DB70" s="86"/>
      <c r="DC70" s="86"/>
      <c r="DD70" s="86"/>
      <c r="DE70" s="87"/>
      <c r="DF70" s="87"/>
      <c r="DG70" s="87"/>
      <c r="DH70" s="87"/>
      <c r="DI70" s="87"/>
      <c r="DJ70" s="87"/>
      <c r="DK70" s="87"/>
      <c r="DL70" s="87"/>
      <c r="DM70" s="87"/>
      <c r="DN70" s="87"/>
      <c r="DO70" s="87"/>
      <c r="DP70" s="87"/>
      <c r="DQ70" s="87"/>
      <c r="DR70" s="87"/>
      <c r="DS70" s="88"/>
      <c r="DT70" s="85"/>
      <c r="DU70" s="86"/>
      <c r="DV70" s="86"/>
      <c r="DW70" s="86"/>
      <c r="DX70" s="87"/>
      <c r="DY70" s="87"/>
      <c r="DZ70" s="87"/>
      <c r="EA70" s="87"/>
      <c r="EB70" s="87"/>
      <c r="EC70" s="87"/>
      <c r="ED70" s="87"/>
      <c r="EE70" s="87"/>
      <c r="EF70" s="87"/>
      <c r="EG70" s="87"/>
      <c r="EH70" s="87"/>
      <c r="EI70" s="87"/>
      <c r="EJ70" s="87"/>
      <c r="EK70" s="87"/>
      <c r="EL70" s="88"/>
      <c r="EM70" s="85"/>
      <c r="EN70" s="86"/>
      <c r="EO70" s="86"/>
      <c r="EP70" s="86"/>
      <c r="EQ70" s="87"/>
      <c r="ER70" s="87"/>
      <c r="ES70" s="87"/>
      <c r="ET70" s="87"/>
      <c r="EU70" s="87"/>
      <c r="EV70" s="87"/>
      <c r="EW70" s="87"/>
      <c r="EX70" s="87"/>
      <c r="EY70" s="87"/>
      <c r="EZ70" s="87"/>
      <c r="FA70" s="87"/>
      <c r="FB70" s="87"/>
      <c r="FC70" s="87"/>
      <c r="FD70" s="87"/>
      <c r="FE70" s="89"/>
    </row>
    <row r="71" spans="2:161" s="6" customFormat="1" ht="13.2">
      <c r="B71" s="112" t="s">
        <v>125</v>
      </c>
      <c r="C71" s="113" t="s">
        <v>126</v>
      </c>
      <c r="D71" s="81">
        <f t="shared" si="38"/>
        <v>17945.82</v>
      </c>
      <c r="E71" s="82">
        <f t="shared" si="39"/>
        <v>17945.82</v>
      </c>
      <c r="F71" s="83">
        <f t="shared" si="39"/>
        <v>0</v>
      </c>
      <c r="G71" s="83">
        <f t="shared" si="39"/>
        <v>0</v>
      </c>
      <c r="H71" s="83">
        <f t="shared" si="39"/>
        <v>0</v>
      </c>
      <c r="I71" s="84">
        <f t="shared" si="39"/>
        <v>0</v>
      </c>
      <c r="J71" s="84">
        <f t="shared" si="39"/>
        <v>0</v>
      </c>
      <c r="K71" s="84">
        <f t="shared" si="39"/>
        <v>0</v>
      </c>
      <c r="L71" s="84">
        <f t="shared" si="39"/>
        <v>0</v>
      </c>
      <c r="M71" s="84">
        <f t="shared" si="39"/>
        <v>0</v>
      </c>
      <c r="N71" s="84">
        <f t="shared" si="39"/>
        <v>0</v>
      </c>
      <c r="O71" s="84">
        <f t="shared" si="39"/>
        <v>0</v>
      </c>
      <c r="P71" s="84">
        <f t="shared" si="39"/>
        <v>0</v>
      </c>
      <c r="Q71" s="84">
        <f t="shared" si="39"/>
        <v>0</v>
      </c>
      <c r="R71" s="84">
        <f t="shared" si="39"/>
        <v>0</v>
      </c>
      <c r="S71" s="84">
        <f t="shared" si="39"/>
        <v>0</v>
      </c>
      <c r="T71" s="84">
        <f t="shared" si="39"/>
        <v>0</v>
      </c>
      <c r="U71" s="84">
        <f t="shared" si="40"/>
        <v>0</v>
      </c>
      <c r="V71" s="84">
        <f t="shared" si="40"/>
        <v>0</v>
      </c>
      <c r="W71" s="84">
        <f>SIS064_F_Gamybinespaski1Elektrosenergi5</f>
        <v>0</v>
      </c>
      <c r="X71" s="84">
        <f>SUM(SIS062_F_Gamybinespaski1Geriamojovande1,SIS063_F_Gamybinespaski1Geriamojovande1,SIS065_F_Gamybinespaski1Geriamojovande1)</f>
        <v>0</v>
      </c>
      <c r="Y71" s="84">
        <f>SUM(SIS062_F_Gamybinespaski1Paslaugaproduk8,SIS063_F_Gamybinespaski1Paslaugaproduk8,SIS065_F_Gamybinespaski1Paslaugaproduk8)</f>
        <v>0</v>
      </c>
      <c r="Z71" s="84">
        <f>SIS064_F_Gamybinespaski1Elektrosenergi6</f>
        <v>0</v>
      </c>
      <c r="AA71" s="84">
        <f>SUM(SIS062_F_Gamybinespaski1Konkurencinesi1,SIS063_F_Gamybinespaski1Konkurencinesi1,SIS065_F_Gamybinespaski1Konkurencinesi1,)</f>
        <v>0</v>
      </c>
      <c r="AB71" s="84">
        <f>SUM(SIS062_F_Gamybinespaski1Paslaugaproduk9,SIS063_F_Gamybinespaski1Paslaugaproduk9,SIS065_F_Gamybinespaski1Paslaugaproduk9)</f>
        <v>0</v>
      </c>
      <c r="AC71" s="85">
        <v>17945.82</v>
      </c>
      <c r="AD71" s="86">
        <v>0</v>
      </c>
      <c r="AE71" s="86">
        <v>0</v>
      </c>
      <c r="AF71" s="86">
        <v>0</v>
      </c>
      <c r="AG71" s="87">
        <v>0</v>
      </c>
      <c r="AH71" s="87">
        <v>0</v>
      </c>
      <c r="AI71" s="87">
        <v>0</v>
      </c>
      <c r="AJ71" s="87">
        <v>0</v>
      </c>
      <c r="AK71" s="87">
        <v>0</v>
      </c>
      <c r="AL71" s="87">
        <v>0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/>
      <c r="AS71" s="87"/>
      <c r="AT71" s="87"/>
      <c r="AU71" s="88"/>
      <c r="AV71" s="85"/>
      <c r="AW71" s="86"/>
      <c r="AX71" s="86"/>
      <c r="AY71" s="86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8"/>
      <c r="BO71" s="85"/>
      <c r="BP71" s="86"/>
      <c r="BQ71" s="86"/>
      <c r="BR71" s="86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/>
      <c r="CE71" s="87"/>
      <c r="CF71" s="87"/>
      <c r="CG71" s="88"/>
      <c r="CH71" s="85"/>
      <c r="CI71" s="86"/>
      <c r="CJ71" s="86"/>
      <c r="CK71" s="86"/>
      <c r="CL71" s="87"/>
      <c r="CM71" s="87"/>
      <c r="CN71" s="87"/>
      <c r="CO71" s="87"/>
      <c r="CP71" s="87"/>
      <c r="CQ71" s="87"/>
      <c r="CR71" s="87"/>
      <c r="CS71" s="87"/>
      <c r="CT71" s="87"/>
      <c r="CU71" s="87"/>
      <c r="CV71" s="87"/>
      <c r="CW71" s="87"/>
      <c r="CX71" s="87"/>
      <c r="CY71" s="87"/>
      <c r="CZ71" s="88"/>
      <c r="DA71" s="85"/>
      <c r="DB71" s="86"/>
      <c r="DC71" s="86"/>
      <c r="DD71" s="86"/>
      <c r="DE71" s="87"/>
      <c r="DF71" s="87"/>
      <c r="DG71" s="87"/>
      <c r="DH71" s="87"/>
      <c r="DI71" s="87"/>
      <c r="DJ71" s="87"/>
      <c r="DK71" s="87"/>
      <c r="DL71" s="87"/>
      <c r="DM71" s="87"/>
      <c r="DN71" s="87"/>
      <c r="DO71" s="87"/>
      <c r="DP71" s="87"/>
      <c r="DQ71" s="87"/>
      <c r="DR71" s="87"/>
      <c r="DS71" s="88"/>
      <c r="DT71" s="85"/>
      <c r="DU71" s="86"/>
      <c r="DV71" s="86"/>
      <c r="DW71" s="86"/>
      <c r="DX71" s="87"/>
      <c r="DY71" s="87"/>
      <c r="DZ71" s="87"/>
      <c r="EA71" s="87"/>
      <c r="EB71" s="87"/>
      <c r="EC71" s="87"/>
      <c r="ED71" s="87"/>
      <c r="EE71" s="87"/>
      <c r="EF71" s="87"/>
      <c r="EG71" s="87"/>
      <c r="EH71" s="87"/>
      <c r="EI71" s="87"/>
      <c r="EJ71" s="87"/>
      <c r="EK71" s="87"/>
      <c r="EL71" s="88"/>
      <c r="EM71" s="85"/>
      <c r="EN71" s="86"/>
      <c r="EO71" s="86"/>
      <c r="EP71" s="86"/>
      <c r="EQ71" s="87"/>
      <c r="ER71" s="87"/>
      <c r="ES71" s="87"/>
      <c r="ET71" s="87"/>
      <c r="EU71" s="87"/>
      <c r="EV71" s="87"/>
      <c r="EW71" s="87"/>
      <c r="EX71" s="87"/>
      <c r="EY71" s="87"/>
      <c r="EZ71" s="87"/>
      <c r="FA71" s="87"/>
      <c r="FB71" s="87"/>
      <c r="FC71" s="87"/>
      <c r="FD71" s="87"/>
      <c r="FE71" s="89"/>
    </row>
    <row r="72" spans="2:161" s="6" customFormat="1" ht="26.4">
      <c r="B72" s="112" t="s">
        <v>127</v>
      </c>
      <c r="C72" s="113" t="s">
        <v>128</v>
      </c>
      <c r="D72" s="81">
        <f t="shared" si="38"/>
        <v>1441.44</v>
      </c>
      <c r="E72" s="82">
        <f t="shared" si="39"/>
        <v>1441.44</v>
      </c>
      <c r="F72" s="83">
        <f t="shared" si="39"/>
        <v>0</v>
      </c>
      <c r="G72" s="83">
        <f t="shared" si="39"/>
        <v>0</v>
      </c>
      <c r="H72" s="83">
        <f t="shared" si="39"/>
        <v>0</v>
      </c>
      <c r="I72" s="84">
        <f t="shared" si="39"/>
        <v>0</v>
      </c>
      <c r="J72" s="84">
        <f t="shared" si="39"/>
        <v>0</v>
      </c>
      <c r="K72" s="84">
        <f t="shared" si="39"/>
        <v>0</v>
      </c>
      <c r="L72" s="84">
        <f t="shared" si="39"/>
        <v>0</v>
      </c>
      <c r="M72" s="84">
        <f t="shared" si="39"/>
        <v>0</v>
      </c>
      <c r="N72" s="84">
        <f t="shared" si="39"/>
        <v>0</v>
      </c>
      <c r="O72" s="84">
        <f t="shared" si="39"/>
        <v>0</v>
      </c>
      <c r="P72" s="84">
        <f t="shared" si="39"/>
        <v>0</v>
      </c>
      <c r="Q72" s="84">
        <f t="shared" si="39"/>
        <v>0</v>
      </c>
      <c r="R72" s="84">
        <f t="shared" si="39"/>
        <v>0</v>
      </c>
      <c r="S72" s="84">
        <f t="shared" si="39"/>
        <v>0</v>
      </c>
      <c r="T72" s="84">
        <f t="shared" si="39"/>
        <v>0</v>
      </c>
      <c r="U72" s="84">
        <f t="shared" si="40"/>
        <v>0</v>
      </c>
      <c r="V72" s="84">
        <f t="shared" si="40"/>
        <v>0</v>
      </c>
      <c r="W72" s="84">
        <f>SIS064_F_Gamybinespaski2Elektrosenergi5</f>
        <v>0</v>
      </c>
      <c r="X72" s="84">
        <f>SUM(SIS062_F_Gamybinespaski2Geriamojovande1,SIS063_F_Gamybinespaski2Geriamojovande1,SIS065_F_Gamybinespaski2Geriamojovande1)</f>
        <v>0</v>
      </c>
      <c r="Y72" s="84">
        <f>SUM(SIS062_F_Gamybinespaski2Paslaugaproduk8,SIS063_F_Gamybinespaski2Paslaugaproduk8,SIS065_F_Gamybinespaski2Paslaugaproduk8)</f>
        <v>0</v>
      </c>
      <c r="Z72" s="84">
        <f>SIS064_F_Gamybinespaski2Elektrosenergi6</f>
        <v>0</v>
      </c>
      <c r="AA72" s="84">
        <f>SUM(SIS062_F_Gamybinespaski2Konkurencinesi1,SIS063_F_Gamybinespaski2Konkurencinesi1,SIS065_F_Gamybinespaski2Konkurencinesi1,)</f>
        <v>0</v>
      </c>
      <c r="AB72" s="84">
        <f>SUM(SIS062_F_Gamybinespaski2Paslaugaproduk9,SIS063_F_Gamybinespaski2Paslaugaproduk9,SIS065_F_Gamybinespaski2Paslaugaproduk9)</f>
        <v>0</v>
      </c>
      <c r="AC72" s="85">
        <v>1441.44</v>
      </c>
      <c r="AD72" s="86">
        <v>0</v>
      </c>
      <c r="AE72" s="86">
        <v>0</v>
      </c>
      <c r="AF72" s="86">
        <v>0</v>
      </c>
      <c r="AG72" s="87">
        <v>0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/>
      <c r="AS72" s="87"/>
      <c r="AT72" s="87"/>
      <c r="AU72" s="88"/>
      <c r="AV72" s="85"/>
      <c r="AW72" s="86"/>
      <c r="AX72" s="86"/>
      <c r="AY72" s="86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8"/>
      <c r="BO72" s="85"/>
      <c r="BP72" s="86"/>
      <c r="BQ72" s="86"/>
      <c r="BR72" s="86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/>
      <c r="CE72" s="87"/>
      <c r="CF72" s="87"/>
      <c r="CG72" s="88"/>
      <c r="CH72" s="85"/>
      <c r="CI72" s="86"/>
      <c r="CJ72" s="86"/>
      <c r="CK72" s="86"/>
      <c r="CL72" s="87"/>
      <c r="CM72" s="87"/>
      <c r="CN72" s="87"/>
      <c r="CO72" s="87"/>
      <c r="CP72" s="87"/>
      <c r="CQ72" s="87"/>
      <c r="CR72" s="87"/>
      <c r="CS72" s="87"/>
      <c r="CT72" s="87"/>
      <c r="CU72" s="87"/>
      <c r="CV72" s="87"/>
      <c r="CW72" s="87"/>
      <c r="CX72" s="87"/>
      <c r="CY72" s="87"/>
      <c r="CZ72" s="88"/>
      <c r="DA72" s="85"/>
      <c r="DB72" s="86"/>
      <c r="DC72" s="86"/>
      <c r="DD72" s="86"/>
      <c r="DE72" s="87"/>
      <c r="DF72" s="87"/>
      <c r="DG72" s="87"/>
      <c r="DH72" s="87"/>
      <c r="DI72" s="87"/>
      <c r="DJ72" s="87"/>
      <c r="DK72" s="87"/>
      <c r="DL72" s="87"/>
      <c r="DM72" s="87"/>
      <c r="DN72" s="87"/>
      <c r="DO72" s="87"/>
      <c r="DP72" s="87"/>
      <c r="DQ72" s="87"/>
      <c r="DR72" s="87"/>
      <c r="DS72" s="88"/>
      <c r="DT72" s="85"/>
      <c r="DU72" s="86"/>
      <c r="DV72" s="86"/>
      <c r="DW72" s="86"/>
      <c r="DX72" s="87"/>
      <c r="DY72" s="87"/>
      <c r="DZ72" s="87"/>
      <c r="EA72" s="87"/>
      <c r="EB72" s="87"/>
      <c r="EC72" s="87"/>
      <c r="ED72" s="87"/>
      <c r="EE72" s="87"/>
      <c r="EF72" s="87"/>
      <c r="EG72" s="87"/>
      <c r="EH72" s="87"/>
      <c r="EI72" s="87"/>
      <c r="EJ72" s="87"/>
      <c r="EK72" s="87"/>
      <c r="EL72" s="88"/>
      <c r="EM72" s="85"/>
      <c r="EN72" s="86"/>
      <c r="EO72" s="86"/>
      <c r="EP72" s="86"/>
      <c r="EQ72" s="87"/>
      <c r="ER72" s="87"/>
      <c r="ES72" s="87"/>
      <c r="ET72" s="87"/>
      <c r="EU72" s="87"/>
      <c r="EV72" s="87"/>
      <c r="EW72" s="87"/>
      <c r="EX72" s="87"/>
      <c r="EY72" s="87"/>
      <c r="EZ72" s="87"/>
      <c r="FA72" s="87"/>
      <c r="FB72" s="87"/>
      <c r="FC72" s="87"/>
      <c r="FD72" s="87"/>
      <c r="FE72" s="89"/>
    </row>
    <row r="73" spans="2:161" s="6" customFormat="1" ht="26.4">
      <c r="B73" s="112" t="s">
        <v>129</v>
      </c>
      <c r="C73" s="113" t="s">
        <v>130</v>
      </c>
      <c r="D73" s="81">
        <f t="shared" si="38"/>
        <v>722.82</v>
      </c>
      <c r="E73" s="82">
        <f t="shared" si="39"/>
        <v>722.82</v>
      </c>
      <c r="F73" s="83">
        <f t="shared" si="39"/>
        <v>0</v>
      </c>
      <c r="G73" s="83">
        <f t="shared" si="39"/>
        <v>0</v>
      </c>
      <c r="H73" s="83">
        <f t="shared" si="39"/>
        <v>0</v>
      </c>
      <c r="I73" s="84">
        <f t="shared" si="39"/>
        <v>0</v>
      </c>
      <c r="J73" s="84">
        <f t="shared" si="39"/>
        <v>0</v>
      </c>
      <c r="K73" s="84">
        <f t="shared" si="39"/>
        <v>0</v>
      </c>
      <c r="L73" s="84">
        <f t="shared" si="39"/>
        <v>0</v>
      </c>
      <c r="M73" s="84">
        <f t="shared" si="39"/>
        <v>0</v>
      </c>
      <c r="N73" s="84">
        <f t="shared" si="39"/>
        <v>0</v>
      </c>
      <c r="O73" s="84">
        <f t="shared" si="39"/>
        <v>0</v>
      </c>
      <c r="P73" s="84">
        <f t="shared" si="39"/>
        <v>0</v>
      </c>
      <c r="Q73" s="84">
        <f t="shared" si="39"/>
        <v>0</v>
      </c>
      <c r="R73" s="84">
        <f t="shared" si="39"/>
        <v>0</v>
      </c>
      <c r="S73" s="84">
        <f t="shared" si="39"/>
        <v>0</v>
      </c>
      <c r="T73" s="84">
        <f t="shared" si="39"/>
        <v>0</v>
      </c>
      <c r="U73" s="84">
        <f t="shared" si="40"/>
        <v>0</v>
      </c>
      <c r="V73" s="84">
        <f t="shared" si="40"/>
        <v>0</v>
      </c>
      <c r="W73" s="84">
        <f>SIS064_F_Gamybinespaski3Elektrosenergi5</f>
        <v>0</v>
      </c>
      <c r="X73" s="84">
        <f>SUM(SIS062_F_Gamybinespaski3Geriamojovande1,SIS063_F_Gamybinespaski3Geriamojovande1,SIS065_F_Gamybinespaski3Geriamojovande1)</f>
        <v>0</v>
      </c>
      <c r="Y73" s="84">
        <f>SUM(SIS062_F_Gamybinespaski3Paslaugaproduk8,SIS063_F_Gamybinespaski3Paslaugaproduk8,SIS065_F_Gamybinespaski3Paslaugaproduk8)</f>
        <v>0</v>
      </c>
      <c r="Z73" s="84">
        <f>SIS064_F_Gamybinespaski3Elektrosenergi6</f>
        <v>0</v>
      </c>
      <c r="AA73" s="84">
        <f>SUM(SIS062_F_Gamybinespaski3Konkurencinesi1,SIS063_F_Gamybinespaski3Konkurencinesi1,SIS065_F_Gamybinespaski3Konkurencinesi1,)</f>
        <v>0</v>
      </c>
      <c r="AB73" s="84">
        <f>SUM(SIS062_F_Gamybinespaski3Paslaugaproduk9,SIS063_F_Gamybinespaski3Paslaugaproduk9,SIS065_F_Gamybinespaski3Paslaugaproduk9)</f>
        <v>0</v>
      </c>
      <c r="AC73" s="85">
        <v>722.82</v>
      </c>
      <c r="AD73" s="86">
        <v>0</v>
      </c>
      <c r="AE73" s="86">
        <v>0</v>
      </c>
      <c r="AF73" s="86">
        <v>0</v>
      </c>
      <c r="AG73" s="87">
        <v>0</v>
      </c>
      <c r="AH73" s="87">
        <v>0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/>
      <c r="AS73" s="87"/>
      <c r="AT73" s="87"/>
      <c r="AU73" s="88"/>
      <c r="AV73" s="85"/>
      <c r="AW73" s="86"/>
      <c r="AX73" s="86"/>
      <c r="AY73" s="86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8"/>
      <c r="BO73" s="85"/>
      <c r="BP73" s="86"/>
      <c r="BQ73" s="86"/>
      <c r="BR73" s="86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/>
      <c r="CD73" s="87"/>
      <c r="CE73" s="87"/>
      <c r="CF73" s="87"/>
      <c r="CG73" s="88"/>
      <c r="CH73" s="85"/>
      <c r="CI73" s="86"/>
      <c r="CJ73" s="86"/>
      <c r="CK73" s="86"/>
      <c r="CL73" s="87"/>
      <c r="CM73" s="87"/>
      <c r="CN73" s="87"/>
      <c r="CO73" s="87"/>
      <c r="CP73" s="87"/>
      <c r="CQ73" s="87"/>
      <c r="CR73" s="87"/>
      <c r="CS73" s="87"/>
      <c r="CT73" s="87"/>
      <c r="CU73" s="87"/>
      <c r="CV73" s="87"/>
      <c r="CW73" s="87"/>
      <c r="CX73" s="87"/>
      <c r="CY73" s="87"/>
      <c r="CZ73" s="88"/>
      <c r="DA73" s="85"/>
      <c r="DB73" s="86"/>
      <c r="DC73" s="86"/>
      <c r="DD73" s="86"/>
      <c r="DE73" s="87"/>
      <c r="DF73" s="87"/>
      <c r="DG73" s="87"/>
      <c r="DH73" s="87"/>
      <c r="DI73" s="87"/>
      <c r="DJ73" s="87"/>
      <c r="DK73" s="87"/>
      <c r="DL73" s="87"/>
      <c r="DM73" s="87"/>
      <c r="DN73" s="87"/>
      <c r="DO73" s="87"/>
      <c r="DP73" s="87"/>
      <c r="DQ73" s="87"/>
      <c r="DR73" s="87"/>
      <c r="DS73" s="88"/>
      <c r="DT73" s="85"/>
      <c r="DU73" s="86"/>
      <c r="DV73" s="86"/>
      <c r="DW73" s="86"/>
      <c r="DX73" s="87"/>
      <c r="DY73" s="87"/>
      <c r="DZ73" s="87"/>
      <c r="EA73" s="87"/>
      <c r="EB73" s="87"/>
      <c r="EC73" s="87"/>
      <c r="ED73" s="87"/>
      <c r="EE73" s="87"/>
      <c r="EF73" s="87"/>
      <c r="EG73" s="87"/>
      <c r="EH73" s="87"/>
      <c r="EI73" s="87"/>
      <c r="EJ73" s="87"/>
      <c r="EK73" s="87"/>
      <c r="EL73" s="88"/>
      <c r="EM73" s="85"/>
      <c r="EN73" s="86"/>
      <c r="EO73" s="86"/>
      <c r="EP73" s="86"/>
      <c r="EQ73" s="87"/>
      <c r="ER73" s="87"/>
      <c r="ES73" s="87"/>
      <c r="ET73" s="87"/>
      <c r="EU73" s="87"/>
      <c r="EV73" s="87"/>
      <c r="EW73" s="87"/>
      <c r="EX73" s="87"/>
      <c r="EY73" s="87"/>
      <c r="EZ73" s="87"/>
      <c r="FA73" s="87"/>
      <c r="FB73" s="87"/>
      <c r="FC73" s="87"/>
      <c r="FD73" s="87"/>
      <c r="FE73" s="89"/>
    </row>
    <row r="74" spans="2:161" s="6" customFormat="1" ht="26.4">
      <c r="B74" s="108" t="s">
        <v>131</v>
      </c>
      <c r="C74" s="110" t="s">
        <v>132</v>
      </c>
      <c r="D74" s="81">
        <f t="shared" si="38"/>
        <v>581.04</v>
      </c>
      <c r="E74" s="82">
        <f t="shared" si="39"/>
        <v>581.04</v>
      </c>
      <c r="F74" s="83">
        <f t="shared" si="39"/>
        <v>0</v>
      </c>
      <c r="G74" s="83">
        <f t="shared" si="39"/>
        <v>0</v>
      </c>
      <c r="H74" s="83">
        <f t="shared" si="39"/>
        <v>0</v>
      </c>
      <c r="I74" s="84">
        <f t="shared" si="39"/>
        <v>0</v>
      </c>
      <c r="J74" s="84">
        <f t="shared" si="39"/>
        <v>0</v>
      </c>
      <c r="K74" s="84">
        <f t="shared" si="39"/>
        <v>0</v>
      </c>
      <c r="L74" s="84">
        <f t="shared" si="39"/>
        <v>0</v>
      </c>
      <c r="M74" s="84">
        <f t="shared" si="39"/>
        <v>0</v>
      </c>
      <c r="N74" s="84">
        <f t="shared" si="39"/>
        <v>0</v>
      </c>
      <c r="O74" s="84">
        <f t="shared" si="39"/>
        <v>0</v>
      </c>
      <c r="P74" s="84">
        <f t="shared" si="39"/>
        <v>0</v>
      </c>
      <c r="Q74" s="84">
        <f t="shared" si="39"/>
        <v>0</v>
      </c>
      <c r="R74" s="84">
        <f t="shared" si="39"/>
        <v>0</v>
      </c>
      <c r="S74" s="84">
        <f t="shared" si="39"/>
        <v>0</v>
      </c>
      <c r="T74" s="84">
        <f t="shared" si="39"/>
        <v>0</v>
      </c>
      <c r="U74" s="84">
        <f t="shared" si="40"/>
        <v>0</v>
      </c>
      <c r="V74" s="84">
        <f t="shared" si="40"/>
        <v>0</v>
      </c>
      <c r="W74" s="84">
        <f>SIS064_F_Kitospaskirtie1Elektrosenergi5</f>
        <v>0</v>
      </c>
      <c r="X74" s="84">
        <f>SUM(SIS062_F_Kitospaskirtie1Geriamojovande1,SIS063_F_Kitospaskirtie1Geriamojovande1,SIS065_F_Kitospaskirtie1Geriamojovande1)</f>
        <v>0</v>
      </c>
      <c r="Y74" s="84">
        <f>SUM(SIS062_F_Kitospaskirtie1Paslaugaproduk8,SIS063_F_Kitospaskirtie1Paslaugaproduk8,SIS065_F_Kitospaskirtie1Paslaugaproduk8)</f>
        <v>0</v>
      </c>
      <c r="Z74" s="84">
        <f>SIS064_F_Kitospaskirtie1Elektrosenergi6</f>
        <v>0</v>
      </c>
      <c r="AA74" s="84">
        <f>SUM(SIS062_F_Kitospaskirtie1Konkurencinesi1,SIS063_F_Kitospaskirtie1Konkurencinesi1,SIS065_F_Kitospaskirtie1Konkurencinesi1,)</f>
        <v>0</v>
      </c>
      <c r="AB74" s="84">
        <f>SUM(SIS062_F_Kitospaskirtie1Paslaugaproduk9,SIS063_F_Kitospaskirtie1Paslaugaproduk9,SIS065_F_Kitospaskirtie1Paslaugaproduk9)</f>
        <v>0</v>
      </c>
      <c r="AC74" s="85">
        <v>581.04</v>
      </c>
      <c r="AD74" s="86">
        <v>0</v>
      </c>
      <c r="AE74" s="86">
        <v>0</v>
      </c>
      <c r="AF74" s="86">
        <v>0</v>
      </c>
      <c r="AG74" s="87">
        <v>0</v>
      </c>
      <c r="AH74" s="87">
        <v>0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/>
      <c r="AS74" s="87"/>
      <c r="AT74" s="87"/>
      <c r="AU74" s="88"/>
      <c r="AV74" s="85"/>
      <c r="AW74" s="86"/>
      <c r="AX74" s="86"/>
      <c r="AY74" s="86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8"/>
      <c r="BO74" s="85"/>
      <c r="BP74" s="86"/>
      <c r="BQ74" s="86"/>
      <c r="BR74" s="86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8"/>
      <c r="CH74" s="85"/>
      <c r="CI74" s="86"/>
      <c r="CJ74" s="86"/>
      <c r="CK74" s="86"/>
      <c r="CL74" s="87"/>
      <c r="CM74" s="87"/>
      <c r="CN74" s="87"/>
      <c r="CO74" s="87"/>
      <c r="CP74" s="87"/>
      <c r="CQ74" s="87"/>
      <c r="CR74" s="87"/>
      <c r="CS74" s="87"/>
      <c r="CT74" s="87"/>
      <c r="CU74" s="87"/>
      <c r="CV74" s="87"/>
      <c r="CW74" s="87"/>
      <c r="CX74" s="87"/>
      <c r="CY74" s="87"/>
      <c r="CZ74" s="88"/>
      <c r="DA74" s="85"/>
      <c r="DB74" s="86"/>
      <c r="DC74" s="86"/>
      <c r="DD74" s="86"/>
      <c r="DE74" s="87"/>
      <c r="DF74" s="87"/>
      <c r="DG74" s="87"/>
      <c r="DH74" s="87"/>
      <c r="DI74" s="87"/>
      <c r="DJ74" s="87"/>
      <c r="DK74" s="87"/>
      <c r="DL74" s="87"/>
      <c r="DM74" s="87"/>
      <c r="DN74" s="87"/>
      <c r="DO74" s="87"/>
      <c r="DP74" s="87"/>
      <c r="DQ74" s="87"/>
      <c r="DR74" s="87"/>
      <c r="DS74" s="88"/>
      <c r="DT74" s="85"/>
      <c r="DU74" s="86"/>
      <c r="DV74" s="86"/>
      <c r="DW74" s="86"/>
      <c r="DX74" s="87"/>
      <c r="DY74" s="87"/>
      <c r="DZ74" s="87"/>
      <c r="EA74" s="87"/>
      <c r="EB74" s="87"/>
      <c r="EC74" s="87"/>
      <c r="ED74" s="87"/>
      <c r="EE74" s="87"/>
      <c r="EF74" s="87"/>
      <c r="EG74" s="87"/>
      <c r="EH74" s="87"/>
      <c r="EI74" s="87"/>
      <c r="EJ74" s="87"/>
      <c r="EK74" s="87"/>
      <c r="EL74" s="88"/>
      <c r="EM74" s="85"/>
      <c r="EN74" s="86"/>
      <c r="EO74" s="86"/>
      <c r="EP74" s="86"/>
      <c r="EQ74" s="87"/>
      <c r="ER74" s="87"/>
      <c r="ES74" s="87"/>
      <c r="ET74" s="87"/>
      <c r="EU74" s="87"/>
      <c r="EV74" s="87"/>
      <c r="EW74" s="87"/>
      <c r="EX74" s="87"/>
      <c r="EY74" s="87"/>
      <c r="EZ74" s="87"/>
      <c r="FA74" s="87"/>
      <c r="FB74" s="87"/>
      <c r="FC74" s="87"/>
      <c r="FD74" s="87"/>
      <c r="FE74" s="89"/>
    </row>
    <row r="75" spans="2:161" s="6" customFormat="1" ht="26.4">
      <c r="B75" s="108" t="s">
        <v>133</v>
      </c>
      <c r="C75" s="110" t="s">
        <v>134</v>
      </c>
      <c r="D75" s="81">
        <f t="shared" si="38"/>
        <v>0</v>
      </c>
      <c r="E75" s="82">
        <f t="shared" si="39"/>
        <v>0</v>
      </c>
      <c r="F75" s="83">
        <f t="shared" si="39"/>
        <v>0</v>
      </c>
      <c r="G75" s="83">
        <f t="shared" si="39"/>
        <v>0</v>
      </c>
      <c r="H75" s="83">
        <f t="shared" si="39"/>
        <v>0</v>
      </c>
      <c r="I75" s="84">
        <f t="shared" si="39"/>
        <v>0</v>
      </c>
      <c r="J75" s="84">
        <f t="shared" si="39"/>
        <v>0</v>
      </c>
      <c r="K75" s="84">
        <f t="shared" si="39"/>
        <v>0</v>
      </c>
      <c r="L75" s="84">
        <f t="shared" si="39"/>
        <v>0</v>
      </c>
      <c r="M75" s="84">
        <f t="shared" si="39"/>
        <v>0</v>
      </c>
      <c r="N75" s="84">
        <f t="shared" si="39"/>
        <v>0</v>
      </c>
      <c r="O75" s="84">
        <f t="shared" si="39"/>
        <v>0</v>
      </c>
      <c r="P75" s="84">
        <f t="shared" si="39"/>
        <v>0</v>
      </c>
      <c r="Q75" s="84">
        <f t="shared" si="39"/>
        <v>0</v>
      </c>
      <c r="R75" s="84">
        <f t="shared" si="39"/>
        <v>0</v>
      </c>
      <c r="S75" s="84">
        <f t="shared" si="39"/>
        <v>0</v>
      </c>
      <c r="T75" s="84">
        <f t="shared" si="39"/>
        <v>0</v>
      </c>
      <c r="U75" s="84">
        <f t="shared" si="40"/>
        <v>0</v>
      </c>
      <c r="V75" s="84">
        <f t="shared" si="40"/>
        <v>0</v>
      </c>
      <c r="W75" s="84">
        <f>SIS064_F_Kitospaskirtie2Elektrosenergi5</f>
        <v>0</v>
      </c>
      <c r="X75" s="84">
        <f>SUM(SIS062_F_Kitospaskirtie2Geriamojovande1,SIS063_F_Kitospaskirtie2Geriamojovande1,SIS065_F_Kitospaskirtie2Geriamojovande1)</f>
        <v>0</v>
      </c>
      <c r="Y75" s="84">
        <f>SUM(SIS062_F_Kitospaskirtie2Paslaugaproduk8,SIS063_F_Kitospaskirtie2Paslaugaproduk8,SIS065_F_Kitospaskirtie2Paslaugaproduk8)</f>
        <v>0</v>
      </c>
      <c r="Z75" s="84">
        <f>SIS064_F_Kitospaskirtie2Elektrosenergi6</f>
        <v>0</v>
      </c>
      <c r="AA75" s="84">
        <f>SUM(SIS062_F_Kitospaskirtie2Konkurencinesi1,SIS063_F_Kitospaskirtie2Konkurencinesi1,SIS065_F_Kitospaskirtie2Konkurencinesi1,)</f>
        <v>0</v>
      </c>
      <c r="AB75" s="84">
        <f>SUM(SIS062_F_Kitospaskirtie2Paslaugaproduk9,SIS063_F_Kitospaskirtie2Paslaugaproduk9,SIS065_F_Kitospaskirtie2Paslaugaproduk9)</f>
        <v>0</v>
      </c>
      <c r="AC75" s="85">
        <v>0</v>
      </c>
      <c r="AD75" s="86">
        <v>0</v>
      </c>
      <c r="AE75" s="86">
        <v>0</v>
      </c>
      <c r="AF75" s="86">
        <v>0</v>
      </c>
      <c r="AG75" s="87">
        <v>0</v>
      </c>
      <c r="AH75" s="87">
        <v>0</v>
      </c>
      <c r="AI75" s="87">
        <v>0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/>
      <c r="AS75" s="87"/>
      <c r="AT75" s="87"/>
      <c r="AU75" s="88"/>
      <c r="AV75" s="85"/>
      <c r="AW75" s="86"/>
      <c r="AX75" s="86"/>
      <c r="AY75" s="86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8"/>
      <c r="BO75" s="85"/>
      <c r="BP75" s="86"/>
      <c r="BQ75" s="86"/>
      <c r="BR75" s="86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  <c r="CE75" s="87"/>
      <c r="CF75" s="87"/>
      <c r="CG75" s="88"/>
      <c r="CH75" s="85"/>
      <c r="CI75" s="86"/>
      <c r="CJ75" s="86"/>
      <c r="CK75" s="86"/>
      <c r="CL75" s="87"/>
      <c r="CM75" s="87"/>
      <c r="CN75" s="87"/>
      <c r="CO75" s="87"/>
      <c r="CP75" s="87"/>
      <c r="CQ75" s="87"/>
      <c r="CR75" s="87"/>
      <c r="CS75" s="87"/>
      <c r="CT75" s="87"/>
      <c r="CU75" s="87"/>
      <c r="CV75" s="87"/>
      <c r="CW75" s="87"/>
      <c r="CX75" s="87"/>
      <c r="CY75" s="87"/>
      <c r="CZ75" s="88"/>
      <c r="DA75" s="85"/>
      <c r="DB75" s="86"/>
      <c r="DC75" s="86"/>
      <c r="DD75" s="86"/>
      <c r="DE75" s="87"/>
      <c r="DF75" s="87"/>
      <c r="DG75" s="87"/>
      <c r="DH75" s="87"/>
      <c r="DI75" s="87"/>
      <c r="DJ75" s="87"/>
      <c r="DK75" s="87"/>
      <c r="DL75" s="87"/>
      <c r="DM75" s="87"/>
      <c r="DN75" s="87"/>
      <c r="DO75" s="87"/>
      <c r="DP75" s="87"/>
      <c r="DQ75" s="87"/>
      <c r="DR75" s="87"/>
      <c r="DS75" s="88"/>
      <c r="DT75" s="85"/>
      <c r="DU75" s="86"/>
      <c r="DV75" s="86"/>
      <c r="DW75" s="86"/>
      <c r="DX75" s="87"/>
      <c r="DY75" s="87"/>
      <c r="DZ75" s="87"/>
      <c r="EA75" s="87"/>
      <c r="EB75" s="87"/>
      <c r="EC75" s="87"/>
      <c r="ED75" s="87"/>
      <c r="EE75" s="87"/>
      <c r="EF75" s="87"/>
      <c r="EG75" s="87"/>
      <c r="EH75" s="87"/>
      <c r="EI75" s="87"/>
      <c r="EJ75" s="87"/>
      <c r="EK75" s="87"/>
      <c r="EL75" s="88"/>
      <c r="EM75" s="85"/>
      <c r="EN75" s="86"/>
      <c r="EO75" s="86"/>
      <c r="EP75" s="86"/>
      <c r="EQ75" s="87"/>
      <c r="ER75" s="87"/>
      <c r="ES75" s="87"/>
      <c r="ET75" s="87"/>
      <c r="EU75" s="87"/>
      <c r="EV75" s="87"/>
      <c r="EW75" s="87"/>
      <c r="EX75" s="87"/>
      <c r="EY75" s="87"/>
      <c r="EZ75" s="87"/>
      <c r="FA75" s="87"/>
      <c r="FB75" s="87"/>
      <c r="FC75" s="87"/>
      <c r="FD75" s="87"/>
      <c r="FE75" s="89"/>
    </row>
    <row r="76" spans="2:161" s="6" customFormat="1" ht="26.4">
      <c r="B76" s="108" t="s">
        <v>135</v>
      </c>
      <c r="C76" s="110" t="s">
        <v>136</v>
      </c>
      <c r="D76" s="81">
        <f t="shared" si="38"/>
        <v>3833.49</v>
      </c>
      <c r="E76" s="82">
        <f t="shared" si="39"/>
        <v>3833.49</v>
      </c>
      <c r="F76" s="83">
        <f t="shared" si="39"/>
        <v>0</v>
      </c>
      <c r="G76" s="83">
        <f t="shared" si="39"/>
        <v>0</v>
      </c>
      <c r="H76" s="83">
        <f t="shared" si="39"/>
        <v>0</v>
      </c>
      <c r="I76" s="84">
        <f t="shared" si="39"/>
        <v>0</v>
      </c>
      <c r="J76" s="84">
        <f t="shared" si="39"/>
        <v>0</v>
      </c>
      <c r="K76" s="84">
        <f t="shared" si="39"/>
        <v>0</v>
      </c>
      <c r="L76" s="84">
        <f t="shared" si="39"/>
        <v>0</v>
      </c>
      <c r="M76" s="84">
        <f t="shared" si="39"/>
        <v>0</v>
      </c>
      <c r="N76" s="84">
        <f t="shared" si="39"/>
        <v>0</v>
      </c>
      <c r="O76" s="84">
        <f t="shared" si="39"/>
        <v>0</v>
      </c>
      <c r="P76" s="84">
        <f t="shared" si="39"/>
        <v>0</v>
      </c>
      <c r="Q76" s="84">
        <f t="shared" si="39"/>
        <v>0</v>
      </c>
      <c r="R76" s="84">
        <f t="shared" si="39"/>
        <v>0</v>
      </c>
      <c r="S76" s="84">
        <f t="shared" si="39"/>
        <v>0</v>
      </c>
      <c r="T76" s="84">
        <f t="shared" si="39"/>
        <v>0</v>
      </c>
      <c r="U76" s="84">
        <f t="shared" si="40"/>
        <v>0</v>
      </c>
      <c r="V76" s="84">
        <f t="shared" si="40"/>
        <v>0</v>
      </c>
      <c r="W76" s="84">
        <f>SIS064_F_Kitospaskirtie3Elektrosenergi5</f>
        <v>0</v>
      </c>
      <c r="X76" s="84">
        <f>SUM(SIS062_F_Kitospaskirtie3Geriamojovande1,SIS063_F_Kitospaskirtie3Geriamojovande1,SIS065_F_Kitospaskirtie3Geriamojovande1)</f>
        <v>0</v>
      </c>
      <c r="Y76" s="84">
        <f>SUM(SIS062_F_Kitospaskirtie3Paslaugaproduk8,SIS063_F_Kitospaskirtie3Paslaugaproduk8,SIS065_F_Kitospaskirtie3Paslaugaproduk8)</f>
        <v>0</v>
      </c>
      <c r="Z76" s="84">
        <f>SIS064_F_Kitospaskirtie3Elektrosenergi6</f>
        <v>0</v>
      </c>
      <c r="AA76" s="84">
        <f>SUM(SIS062_F_Kitospaskirtie3Konkurencinesi1,SIS063_F_Kitospaskirtie3Konkurencinesi1,SIS065_F_Kitospaskirtie3Konkurencinesi1,)</f>
        <v>0</v>
      </c>
      <c r="AB76" s="84">
        <f>SUM(SIS062_F_Kitospaskirtie3Paslaugaproduk9,SIS063_F_Kitospaskirtie3Paslaugaproduk9,SIS065_F_Kitospaskirtie3Paslaugaproduk9)</f>
        <v>0</v>
      </c>
      <c r="AC76" s="85">
        <v>3833.49</v>
      </c>
      <c r="AD76" s="86">
        <v>0</v>
      </c>
      <c r="AE76" s="86">
        <v>0</v>
      </c>
      <c r="AF76" s="86">
        <v>0</v>
      </c>
      <c r="AG76" s="87">
        <v>0</v>
      </c>
      <c r="AH76" s="87">
        <v>0</v>
      </c>
      <c r="AI76" s="87">
        <v>0</v>
      </c>
      <c r="AJ76" s="87">
        <v>0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/>
      <c r="AS76" s="87"/>
      <c r="AT76" s="87"/>
      <c r="AU76" s="88"/>
      <c r="AV76" s="85"/>
      <c r="AW76" s="86"/>
      <c r="AX76" s="86"/>
      <c r="AY76" s="86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8"/>
      <c r="BO76" s="85"/>
      <c r="BP76" s="86"/>
      <c r="BQ76" s="86"/>
      <c r="BR76" s="86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8"/>
      <c r="CH76" s="85"/>
      <c r="CI76" s="86"/>
      <c r="CJ76" s="86"/>
      <c r="CK76" s="86"/>
      <c r="CL76" s="87"/>
      <c r="CM76" s="87"/>
      <c r="CN76" s="87"/>
      <c r="CO76" s="87"/>
      <c r="CP76" s="87"/>
      <c r="CQ76" s="87"/>
      <c r="CR76" s="87"/>
      <c r="CS76" s="87"/>
      <c r="CT76" s="87"/>
      <c r="CU76" s="87"/>
      <c r="CV76" s="87"/>
      <c r="CW76" s="87"/>
      <c r="CX76" s="87"/>
      <c r="CY76" s="87"/>
      <c r="CZ76" s="88"/>
      <c r="DA76" s="85"/>
      <c r="DB76" s="86"/>
      <c r="DC76" s="86"/>
      <c r="DD76" s="86"/>
      <c r="DE76" s="87"/>
      <c r="DF76" s="87"/>
      <c r="DG76" s="87"/>
      <c r="DH76" s="87"/>
      <c r="DI76" s="87"/>
      <c r="DJ76" s="87"/>
      <c r="DK76" s="87"/>
      <c r="DL76" s="87"/>
      <c r="DM76" s="87"/>
      <c r="DN76" s="87"/>
      <c r="DO76" s="87"/>
      <c r="DP76" s="87"/>
      <c r="DQ76" s="87"/>
      <c r="DR76" s="87"/>
      <c r="DS76" s="88"/>
      <c r="DT76" s="85"/>
      <c r="DU76" s="86"/>
      <c r="DV76" s="86"/>
      <c r="DW76" s="86"/>
      <c r="DX76" s="87"/>
      <c r="DY76" s="87"/>
      <c r="DZ76" s="87"/>
      <c r="EA76" s="87"/>
      <c r="EB76" s="87"/>
      <c r="EC76" s="87"/>
      <c r="ED76" s="87"/>
      <c r="EE76" s="87"/>
      <c r="EF76" s="87"/>
      <c r="EG76" s="87"/>
      <c r="EH76" s="87"/>
      <c r="EI76" s="87"/>
      <c r="EJ76" s="87"/>
      <c r="EK76" s="87"/>
      <c r="EL76" s="88"/>
      <c r="EM76" s="85"/>
      <c r="EN76" s="86"/>
      <c r="EO76" s="86"/>
      <c r="EP76" s="86"/>
      <c r="EQ76" s="87"/>
      <c r="ER76" s="87"/>
      <c r="ES76" s="87"/>
      <c r="ET76" s="87"/>
      <c r="EU76" s="87"/>
      <c r="EV76" s="87"/>
      <c r="EW76" s="87"/>
      <c r="EX76" s="87"/>
      <c r="EY76" s="87"/>
      <c r="EZ76" s="87"/>
      <c r="FA76" s="87"/>
      <c r="FB76" s="87"/>
      <c r="FC76" s="87"/>
      <c r="FD76" s="87"/>
      <c r="FE76" s="89"/>
    </row>
    <row r="77" spans="2:161" s="6" customFormat="1" ht="13.2">
      <c r="B77" s="108" t="s">
        <v>137</v>
      </c>
      <c r="C77" s="110" t="s">
        <v>138</v>
      </c>
      <c r="D77" s="81">
        <f t="shared" si="38"/>
        <v>20779</v>
      </c>
      <c r="E77" s="82">
        <f t="shared" si="39"/>
        <v>2875.44</v>
      </c>
      <c r="F77" s="83">
        <f t="shared" si="39"/>
        <v>0</v>
      </c>
      <c r="G77" s="83">
        <f t="shared" si="39"/>
        <v>0</v>
      </c>
      <c r="H77" s="83">
        <f t="shared" si="39"/>
        <v>0</v>
      </c>
      <c r="I77" s="84">
        <f t="shared" si="39"/>
        <v>0</v>
      </c>
      <c r="J77" s="84">
        <f t="shared" si="39"/>
        <v>17712.900000000001</v>
      </c>
      <c r="K77" s="84">
        <f t="shared" si="39"/>
        <v>0</v>
      </c>
      <c r="L77" s="84">
        <f t="shared" si="39"/>
        <v>0</v>
      </c>
      <c r="M77" s="84">
        <f t="shared" si="39"/>
        <v>0</v>
      </c>
      <c r="N77" s="84">
        <f t="shared" si="39"/>
        <v>0</v>
      </c>
      <c r="O77" s="84">
        <f t="shared" si="39"/>
        <v>0</v>
      </c>
      <c r="P77" s="84">
        <f t="shared" si="39"/>
        <v>0</v>
      </c>
      <c r="Q77" s="84">
        <f t="shared" si="39"/>
        <v>0</v>
      </c>
      <c r="R77" s="84">
        <f t="shared" si="39"/>
        <v>0</v>
      </c>
      <c r="S77" s="84">
        <f t="shared" si="39"/>
        <v>190.66</v>
      </c>
      <c r="T77" s="84">
        <f t="shared" si="39"/>
        <v>0</v>
      </c>
      <c r="U77" s="84">
        <f t="shared" si="40"/>
        <v>0</v>
      </c>
      <c r="V77" s="84">
        <f t="shared" si="40"/>
        <v>0</v>
      </c>
      <c r="W77" s="84">
        <f>SIS064_F_Kitospaskirtie4Elektrosenergi5</f>
        <v>0</v>
      </c>
      <c r="X77" s="84">
        <f>SUM(SIS062_F_Kitospaskirtie4Geriamojovande1,SIS063_F_Kitospaskirtie4Geriamojovande1,SIS065_F_Kitospaskirtie4Geriamojovande1)</f>
        <v>0</v>
      </c>
      <c r="Y77" s="84">
        <f>SUM(SIS062_F_Kitospaskirtie4Paslaugaproduk8,SIS063_F_Kitospaskirtie4Paslaugaproduk8,SIS065_F_Kitospaskirtie4Paslaugaproduk8)</f>
        <v>0</v>
      </c>
      <c r="Z77" s="84">
        <f>SIS064_F_Kitospaskirtie4Elektrosenergi6</f>
        <v>0</v>
      </c>
      <c r="AA77" s="84">
        <f>SUM(SIS062_F_Kitospaskirtie4Konkurencinesi1,SIS063_F_Kitospaskirtie4Konkurencinesi1,SIS065_F_Kitospaskirtie4Konkurencinesi1,)</f>
        <v>0</v>
      </c>
      <c r="AB77" s="84">
        <f>SUM(SIS062_F_Kitospaskirtie4Paslaugaproduk9,SIS063_F_Kitospaskirtie4Paslaugaproduk9,SIS065_F_Kitospaskirtie4Paslaugaproduk9)</f>
        <v>0</v>
      </c>
      <c r="AC77" s="85">
        <v>2875.44</v>
      </c>
      <c r="AD77" s="86">
        <v>0</v>
      </c>
      <c r="AE77" s="86">
        <v>0</v>
      </c>
      <c r="AF77" s="86">
        <v>0</v>
      </c>
      <c r="AG77" s="87">
        <v>0</v>
      </c>
      <c r="AH77" s="87">
        <v>17712.900000000001</v>
      </c>
      <c r="AI77" s="87">
        <v>0</v>
      </c>
      <c r="AJ77" s="87">
        <v>0</v>
      </c>
      <c r="AK77" s="87">
        <v>0</v>
      </c>
      <c r="AL77" s="87">
        <v>0</v>
      </c>
      <c r="AM77" s="87">
        <v>0</v>
      </c>
      <c r="AN77" s="87">
        <v>0</v>
      </c>
      <c r="AO77" s="87">
        <v>0</v>
      </c>
      <c r="AP77" s="87">
        <v>0</v>
      </c>
      <c r="AQ77" s="87">
        <v>190.66</v>
      </c>
      <c r="AR77" s="87"/>
      <c r="AS77" s="87"/>
      <c r="AT77" s="87"/>
      <c r="AU77" s="88"/>
      <c r="AV77" s="85"/>
      <c r="AW77" s="86"/>
      <c r="AX77" s="86"/>
      <c r="AY77" s="86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8"/>
      <c r="BO77" s="85"/>
      <c r="BP77" s="86"/>
      <c r="BQ77" s="86"/>
      <c r="BR77" s="86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8"/>
      <c r="CH77" s="85"/>
      <c r="CI77" s="86"/>
      <c r="CJ77" s="86"/>
      <c r="CK77" s="86"/>
      <c r="CL77" s="87"/>
      <c r="CM77" s="87"/>
      <c r="CN77" s="87"/>
      <c r="CO77" s="87"/>
      <c r="CP77" s="87"/>
      <c r="CQ77" s="87"/>
      <c r="CR77" s="87"/>
      <c r="CS77" s="87"/>
      <c r="CT77" s="87"/>
      <c r="CU77" s="87"/>
      <c r="CV77" s="87"/>
      <c r="CW77" s="87"/>
      <c r="CX77" s="87"/>
      <c r="CY77" s="87"/>
      <c r="CZ77" s="88"/>
      <c r="DA77" s="85"/>
      <c r="DB77" s="86"/>
      <c r="DC77" s="86"/>
      <c r="DD77" s="86"/>
      <c r="DE77" s="87"/>
      <c r="DF77" s="87"/>
      <c r="DG77" s="87"/>
      <c r="DH77" s="87"/>
      <c r="DI77" s="87"/>
      <c r="DJ77" s="87"/>
      <c r="DK77" s="87"/>
      <c r="DL77" s="87"/>
      <c r="DM77" s="87"/>
      <c r="DN77" s="87"/>
      <c r="DO77" s="87"/>
      <c r="DP77" s="87"/>
      <c r="DQ77" s="87"/>
      <c r="DR77" s="87"/>
      <c r="DS77" s="88"/>
      <c r="DT77" s="85"/>
      <c r="DU77" s="86"/>
      <c r="DV77" s="86"/>
      <c r="DW77" s="86"/>
      <c r="DX77" s="87"/>
      <c r="DY77" s="87"/>
      <c r="DZ77" s="87"/>
      <c r="EA77" s="87"/>
      <c r="EB77" s="87"/>
      <c r="EC77" s="87"/>
      <c r="ED77" s="87"/>
      <c r="EE77" s="87"/>
      <c r="EF77" s="87"/>
      <c r="EG77" s="87"/>
      <c r="EH77" s="87"/>
      <c r="EI77" s="87"/>
      <c r="EJ77" s="87"/>
      <c r="EK77" s="87"/>
      <c r="EL77" s="88"/>
      <c r="EM77" s="85"/>
      <c r="EN77" s="86"/>
      <c r="EO77" s="86"/>
      <c r="EP77" s="86"/>
      <c r="EQ77" s="87"/>
      <c r="ER77" s="87"/>
      <c r="ES77" s="87"/>
      <c r="ET77" s="87"/>
      <c r="EU77" s="87"/>
      <c r="EV77" s="87"/>
      <c r="EW77" s="87"/>
      <c r="EX77" s="87"/>
      <c r="EY77" s="87"/>
      <c r="EZ77" s="87"/>
      <c r="FA77" s="87"/>
      <c r="FB77" s="87"/>
      <c r="FC77" s="87"/>
      <c r="FD77" s="87"/>
      <c r="FE77" s="89"/>
    </row>
    <row r="78" spans="2:161" s="6" customFormat="1" ht="13.2">
      <c r="B78" s="108" t="s">
        <v>139</v>
      </c>
      <c r="C78" s="113" t="s">
        <v>140</v>
      </c>
      <c r="D78" s="81">
        <f t="shared" si="38"/>
        <v>3181.6800000000003</v>
      </c>
      <c r="E78" s="82">
        <f t="shared" si="39"/>
        <v>2545.34</v>
      </c>
      <c r="F78" s="83">
        <f t="shared" si="39"/>
        <v>0</v>
      </c>
      <c r="G78" s="83">
        <f t="shared" si="39"/>
        <v>0</v>
      </c>
      <c r="H78" s="83">
        <f t="shared" si="39"/>
        <v>0</v>
      </c>
      <c r="I78" s="84">
        <f t="shared" si="39"/>
        <v>0</v>
      </c>
      <c r="J78" s="84">
        <f t="shared" si="39"/>
        <v>636.34</v>
      </c>
      <c r="K78" s="84">
        <f t="shared" si="39"/>
        <v>0</v>
      </c>
      <c r="L78" s="84">
        <f t="shared" si="39"/>
        <v>0</v>
      </c>
      <c r="M78" s="84">
        <f t="shared" si="39"/>
        <v>0</v>
      </c>
      <c r="N78" s="84">
        <f t="shared" si="39"/>
        <v>0</v>
      </c>
      <c r="O78" s="84">
        <f t="shared" si="39"/>
        <v>0</v>
      </c>
      <c r="P78" s="84">
        <f t="shared" si="39"/>
        <v>0</v>
      </c>
      <c r="Q78" s="84">
        <f t="shared" si="39"/>
        <v>0</v>
      </c>
      <c r="R78" s="84">
        <f t="shared" si="39"/>
        <v>0</v>
      </c>
      <c r="S78" s="84">
        <f t="shared" si="39"/>
        <v>0</v>
      </c>
      <c r="T78" s="84">
        <f t="shared" si="39"/>
        <v>0</v>
      </c>
      <c r="U78" s="84">
        <f t="shared" si="40"/>
        <v>0</v>
      </c>
      <c r="V78" s="84">
        <f t="shared" si="40"/>
        <v>0</v>
      </c>
      <c r="W78" s="84">
        <f>SIS064_F_Administracine1Elektrosenergi5</f>
        <v>0</v>
      </c>
      <c r="X78" s="84">
        <f>SUM(SIS062_F_Administracine1Geriamojovande1,SIS063_F_Administracine1Geriamojovande1,SIS065_F_Administracine1Geriamojovande1)</f>
        <v>0</v>
      </c>
      <c r="Y78" s="84">
        <f>SUM(SIS062_F_Administracine1Paslaugaproduk8,SIS063_F_Administracine1Paslaugaproduk8,SIS065_F_Administracine1Paslaugaproduk8)</f>
        <v>0</v>
      </c>
      <c r="Z78" s="84">
        <f>SIS064_F_Administracine1Elektrosenergi6</f>
        <v>0</v>
      </c>
      <c r="AA78" s="84">
        <f>SUM(SIS062_F_Administracine1Konkurencinesi1,SIS063_F_Administracine1Konkurencinesi1,SIS065_F_Administracine1Konkurencinesi1,)</f>
        <v>0</v>
      </c>
      <c r="AB78" s="84">
        <f>SUM(SIS062_F_Administracine1Paslaugaproduk9,SIS063_F_Administracine1Paslaugaproduk9,SIS065_F_Administracine1Paslaugaproduk9)</f>
        <v>0</v>
      </c>
      <c r="AC78" s="85">
        <v>2545.34</v>
      </c>
      <c r="AD78" s="86">
        <v>0</v>
      </c>
      <c r="AE78" s="86">
        <v>0</v>
      </c>
      <c r="AF78" s="86">
        <v>0</v>
      </c>
      <c r="AG78" s="87">
        <v>0</v>
      </c>
      <c r="AH78" s="87">
        <v>636.34</v>
      </c>
      <c r="AI78" s="87">
        <v>0</v>
      </c>
      <c r="AJ78" s="87">
        <v>0</v>
      </c>
      <c r="AK78" s="87">
        <v>0</v>
      </c>
      <c r="AL78" s="87">
        <v>0</v>
      </c>
      <c r="AM78" s="87">
        <v>0</v>
      </c>
      <c r="AN78" s="87">
        <v>0</v>
      </c>
      <c r="AO78" s="87">
        <v>0</v>
      </c>
      <c r="AP78" s="87">
        <v>0</v>
      </c>
      <c r="AQ78" s="87">
        <v>0</v>
      </c>
      <c r="AR78" s="87"/>
      <c r="AS78" s="87"/>
      <c r="AT78" s="87"/>
      <c r="AU78" s="88"/>
      <c r="AV78" s="85"/>
      <c r="AW78" s="86"/>
      <c r="AX78" s="86"/>
      <c r="AY78" s="86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8"/>
      <c r="BO78" s="85"/>
      <c r="BP78" s="86"/>
      <c r="BQ78" s="86"/>
      <c r="BR78" s="86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/>
      <c r="CD78" s="87"/>
      <c r="CE78" s="87"/>
      <c r="CF78" s="87"/>
      <c r="CG78" s="88"/>
      <c r="CH78" s="85"/>
      <c r="CI78" s="86"/>
      <c r="CJ78" s="86"/>
      <c r="CK78" s="86"/>
      <c r="CL78" s="87"/>
      <c r="CM78" s="87"/>
      <c r="CN78" s="87"/>
      <c r="CO78" s="87"/>
      <c r="CP78" s="87"/>
      <c r="CQ78" s="87"/>
      <c r="CR78" s="87"/>
      <c r="CS78" s="87"/>
      <c r="CT78" s="87"/>
      <c r="CU78" s="87"/>
      <c r="CV78" s="87"/>
      <c r="CW78" s="87"/>
      <c r="CX78" s="87"/>
      <c r="CY78" s="87"/>
      <c r="CZ78" s="88"/>
      <c r="DA78" s="85"/>
      <c r="DB78" s="86"/>
      <c r="DC78" s="86"/>
      <c r="DD78" s="86"/>
      <c r="DE78" s="87"/>
      <c r="DF78" s="87"/>
      <c r="DG78" s="87"/>
      <c r="DH78" s="87"/>
      <c r="DI78" s="87"/>
      <c r="DJ78" s="87"/>
      <c r="DK78" s="87"/>
      <c r="DL78" s="87"/>
      <c r="DM78" s="87"/>
      <c r="DN78" s="87"/>
      <c r="DO78" s="87"/>
      <c r="DP78" s="87"/>
      <c r="DQ78" s="87"/>
      <c r="DR78" s="87"/>
      <c r="DS78" s="88"/>
      <c r="DT78" s="85"/>
      <c r="DU78" s="86"/>
      <c r="DV78" s="86"/>
      <c r="DW78" s="86"/>
      <c r="DX78" s="87"/>
      <c r="DY78" s="87"/>
      <c r="DZ78" s="87"/>
      <c r="EA78" s="87"/>
      <c r="EB78" s="87"/>
      <c r="EC78" s="87"/>
      <c r="ED78" s="87"/>
      <c r="EE78" s="87"/>
      <c r="EF78" s="87"/>
      <c r="EG78" s="87"/>
      <c r="EH78" s="87"/>
      <c r="EI78" s="87"/>
      <c r="EJ78" s="87"/>
      <c r="EK78" s="87"/>
      <c r="EL78" s="88"/>
      <c r="EM78" s="85"/>
      <c r="EN78" s="86"/>
      <c r="EO78" s="86"/>
      <c r="EP78" s="86"/>
      <c r="EQ78" s="87"/>
      <c r="ER78" s="87"/>
      <c r="ES78" s="87"/>
      <c r="ET78" s="87"/>
      <c r="EU78" s="87"/>
      <c r="EV78" s="87"/>
      <c r="EW78" s="87"/>
      <c r="EX78" s="87"/>
      <c r="EY78" s="87"/>
      <c r="EZ78" s="87"/>
      <c r="FA78" s="87"/>
      <c r="FB78" s="87"/>
      <c r="FC78" s="87"/>
      <c r="FD78" s="87"/>
      <c r="FE78" s="89"/>
    </row>
    <row r="79" spans="2:161" s="6" customFormat="1" ht="13.2">
      <c r="B79" s="108" t="s">
        <v>141</v>
      </c>
      <c r="C79" s="113" t="s">
        <v>142</v>
      </c>
      <c r="D79" s="81">
        <f t="shared" si="38"/>
        <v>2139.2399999999998</v>
      </c>
      <c r="E79" s="82">
        <f t="shared" si="39"/>
        <v>2139.2399999999998</v>
      </c>
      <c r="F79" s="83">
        <f t="shared" si="39"/>
        <v>0</v>
      </c>
      <c r="G79" s="83">
        <f t="shared" si="39"/>
        <v>0</v>
      </c>
      <c r="H79" s="83">
        <f t="shared" si="39"/>
        <v>0</v>
      </c>
      <c r="I79" s="84">
        <f t="shared" si="39"/>
        <v>0</v>
      </c>
      <c r="J79" s="84">
        <f t="shared" si="39"/>
        <v>0</v>
      </c>
      <c r="K79" s="84">
        <f t="shared" si="39"/>
        <v>0</v>
      </c>
      <c r="L79" s="84">
        <f t="shared" si="39"/>
        <v>0</v>
      </c>
      <c r="M79" s="84">
        <f t="shared" si="39"/>
        <v>0</v>
      </c>
      <c r="N79" s="84">
        <f t="shared" si="39"/>
        <v>0</v>
      </c>
      <c r="O79" s="84">
        <f t="shared" si="39"/>
        <v>0</v>
      </c>
      <c r="P79" s="84">
        <f t="shared" si="39"/>
        <v>0</v>
      </c>
      <c r="Q79" s="84">
        <f t="shared" si="39"/>
        <v>0</v>
      </c>
      <c r="R79" s="84">
        <f t="shared" si="39"/>
        <v>0</v>
      </c>
      <c r="S79" s="84">
        <f t="shared" si="39"/>
        <v>0</v>
      </c>
      <c r="T79" s="84">
        <f t="shared" si="39"/>
        <v>0</v>
      </c>
      <c r="U79" s="84">
        <f t="shared" si="40"/>
        <v>0</v>
      </c>
      <c r="V79" s="84">
        <f t="shared" si="40"/>
        <v>0</v>
      </c>
      <c r="W79" s="84">
        <f>SIS064_F_Kitospaskirtie5Elektrosenergi5</f>
        <v>0</v>
      </c>
      <c r="X79" s="84">
        <f>SUM(SIS062_F_Kitospaskirtie5Geriamojovande1,SIS063_F_Kitospaskirtie5Geriamojovande1,SIS065_F_Kitospaskirtie5Geriamojovande1)</f>
        <v>0</v>
      </c>
      <c r="Y79" s="84">
        <f>SUM(SIS062_F_Kitospaskirtie5Paslaugaproduk8,SIS063_F_Kitospaskirtie5Paslaugaproduk8,SIS065_F_Kitospaskirtie5Paslaugaproduk8)</f>
        <v>0</v>
      </c>
      <c r="Z79" s="84">
        <f>SIS064_F_Kitospaskirtie5Elektrosenergi6</f>
        <v>0</v>
      </c>
      <c r="AA79" s="84">
        <f>SUM(SIS062_F_Kitospaskirtie5Konkurencinesi1,SIS063_F_Kitospaskirtie5Konkurencinesi1,SIS065_F_Kitospaskirtie5Konkurencinesi1,)</f>
        <v>0</v>
      </c>
      <c r="AB79" s="84">
        <f>SUM(SIS062_F_Kitospaskirtie5Paslaugaproduk9,SIS063_F_Kitospaskirtie5Paslaugaproduk9,SIS065_F_Kitospaskirtie5Paslaugaproduk9)</f>
        <v>0</v>
      </c>
      <c r="AC79" s="85">
        <v>2139.2399999999998</v>
      </c>
      <c r="AD79" s="86">
        <v>0</v>
      </c>
      <c r="AE79" s="86">
        <v>0</v>
      </c>
      <c r="AF79" s="86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</v>
      </c>
      <c r="AL79" s="87">
        <v>0</v>
      </c>
      <c r="AM79" s="87">
        <v>0</v>
      </c>
      <c r="AN79" s="87">
        <v>0</v>
      </c>
      <c r="AO79" s="87">
        <v>0</v>
      </c>
      <c r="AP79" s="87">
        <v>0</v>
      </c>
      <c r="AQ79" s="87">
        <v>0</v>
      </c>
      <c r="AR79" s="87"/>
      <c r="AS79" s="87"/>
      <c r="AT79" s="87"/>
      <c r="AU79" s="88"/>
      <c r="AV79" s="85"/>
      <c r="AW79" s="86"/>
      <c r="AX79" s="86"/>
      <c r="AY79" s="86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8"/>
      <c r="BO79" s="85"/>
      <c r="BP79" s="86"/>
      <c r="BQ79" s="86"/>
      <c r="BR79" s="86"/>
      <c r="BS79" s="87"/>
      <c r="BT79" s="87"/>
      <c r="BU79" s="87"/>
      <c r="BV79" s="87"/>
      <c r="BW79" s="87"/>
      <c r="BX79" s="87"/>
      <c r="BY79" s="87"/>
      <c r="BZ79" s="87"/>
      <c r="CA79" s="87"/>
      <c r="CB79" s="87"/>
      <c r="CC79" s="87"/>
      <c r="CD79" s="87"/>
      <c r="CE79" s="87"/>
      <c r="CF79" s="87"/>
      <c r="CG79" s="88"/>
      <c r="CH79" s="85"/>
      <c r="CI79" s="86"/>
      <c r="CJ79" s="86"/>
      <c r="CK79" s="86"/>
      <c r="CL79" s="87"/>
      <c r="CM79" s="87"/>
      <c r="CN79" s="87"/>
      <c r="CO79" s="87"/>
      <c r="CP79" s="87"/>
      <c r="CQ79" s="87"/>
      <c r="CR79" s="87"/>
      <c r="CS79" s="87"/>
      <c r="CT79" s="87"/>
      <c r="CU79" s="87"/>
      <c r="CV79" s="87"/>
      <c r="CW79" s="87"/>
      <c r="CX79" s="87"/>
      <c r="CY79" s="87"/>
      <c r="CZ79" s="88"/>
      <c r="DA79" s="85"/>
      <c r="DB79" s="86"/>
      <c r="DC79" s="86"/>
      <c r="DD79" s="86"/>
      <c r="DE79" s="87"/>
      <c r="DF79" s="87"/>
      <c r="DG79" s="87"/>
      <c r="DH79" s="87"/>
      <c r="DI79" s="87"/>
      <c r="DJ79" s="87"/>
      <c r="DK79" s="87"/>
      <c r="DL79" s="87"/>
      <c r="DM79" s="87"/>
      <c r="DN79" s="87"/>
      <c r="DO79" s="87"/>
      <c r="DP79" s="87"/>
      <c r="DQ79" s="87"/>
      <c r="DR79" s="87"/>
      <c r="DS79" s="88"/>
      <c r="DT79" s="85"/>
      <c r="DU79" s="86"/>
      <c r="DV79" s="86"/>
      <c r="DW79" s="86"/>
      <c r="DX79" s="87"/>
      <c r="DY79" s="87"/>
      <c r="DZ79" s="87"/>
      <c r="EA79" s="87"/>
      <c r="EB79" s="87"/>
      <c r="EC79" s="87"/>
      <c r="ED79" s="87"/>
      <c r="EE79" s="87"/>
      <c r="EF79" s="87"/>
      <c r="EG79" s="87"/>
      <c r="EH79" s="87"/>
      <c r="EI79" s="87"/>
      <c r="EJ79" s="87"/>
      <c r="EK79" s="87"/>
      <c r="EL79" s="88"/>
      <c r="EM79" s="85"/>
      <c r="EN79" s="86"/>
      <c r="EO79" s="86"/>
      <c r="EP79" s="86"/>
      <c r="EQ79" s="87"/>
      <c r="ER79" s="87"/>
      <c r="ES79" s="87"/>
      <c r="ET79" s="87"/>
      <c r="EU79" s="87"/>
      <c r="EV79" s="87"/>
      <c r="EW79" s="87"/>
      <c r="EX79" s="87"/>
      <c r="EY79" s="87"/>
      <c r="EZ79" s="87"/>
      <c r="FA79" s="87"/>
      <c r="FB79" s="87"/>
      <c r="FC79" s="87"/>
      <c r="FD79" s="87"/>
      <c r="FE79" s="89"/>
    </row>
    <row r="80" spans="2:161" s="6" customFormat="1" ht="26.4">
      <c r="B80" s="108" t="s">
        <v>143</v>
      </c>
      <c r="C80" s="113" t="s">
        <v>144</v>
      </c>
      <c r="D80" s="81">
        <f t="shared" si="38"/>
        <v>842.28</v>
      </c>
      <c r="E80" s="82">
        <f t="shared" si="39"/>
        <v>842.28</v>
      </c>
      <c r="F80" s="83">
        <f t="shared" si="39"/>
        <v>0</v>
      </c>
      <c r="G80" s="83">
        <f t="shared" si="39"/>
        <v>0</v>
      </c>
      <c r="H80" s="83">
        <f t="shared" si="39"/>
        <v>0</v>
      </c>
      <c r="I80" s="84">
        <f t="shared" si="39"/>
        <v>0</v>
      </c>
      <c r="J80" s="84">
        <f t="shared" si="39"/>
        <v>0</v>
      </c>
      <c r="K80" s="84">
        <f t="shared" si="39"/>
        <v>0</v>
      </c>
      <c r="L80" s="84">
        <f t="shared" si="39"/>
        <v>0</v>
      </c>
      <c r="M80" s="84">
        <f t="shared" si="39"/>
        <v>0</v>
      </c>
      <c r="N80" s="84">
        <f t="shared" si="39"/>
        <v>0</v>
      </c>
      <c r="O80" s="84">
        <f t="shared" si="39"/>
        <v>0</v>
      </c>
      <c r="P80" s="84">
        <f t="shared" si="39"/>
        <v>0</v>
      </c>
      <c r="Q80" s="84">
        <f t="shared" si="39"/>
        <v>0</v>
      </c>
      <c r="R80" s="84">
        <f t="shared" si="39"/>
        <v>0</v>
      </c>
      <c r="S80" s="84">
        <f t="shared" si="39"/>
        <v>0</v>
      </c>
      <c r="T80" s="84">
        <f t="shared" si="39"/>
        <v>0</v>
      </c>
      <c r="U80" s="84">
        <f t="shared" si="40"/>
        <v>0</v>
      </c>
      <c r="V80" s="84">
        <f t="shared" si="40"/>
        <v>0</v>
      </c>
      <c r="W80" s="84">
        <f>SIS064_F_Kitosirangospr1Elektrosenergi5</f>
        <v>0</v>
      </c>
      <c r="X80" s="84">
        <f>SUM(SIS062_F_Kitosirangospr1Geriamojovande1,SIS063_F_Kitosirangospr1Geriamojovande1,SIS065_F_Kitosirangospr1Geriamojovande1)</f>
        <v>0</v>
      </c>
      <c r="Y80" s="84">
        <f>SUM(SIS062_F_Kitosirangospr1Paslaugaproduk8,SIS063_F_Kitosirangospr1Paslaugaproduk8,SIS065_F_Kitosirangospr1Paslaugaproduk8)</f>
        <v>0</v>
      </c>
      <c r="Z80" s="84">
        <f>SIS064_F_Kitosirangospr1Elektrosenergi6</f>
        <v>0</v>
      </c>
      <c r="AA80" s="84">
        <f>SUM(SIS062_F_Kitosirangospr1Konkurencinesi1,SIS063_F_Kitosirangospr1Konkurencinesi1,SIS065_F_Kitosirangospr1Konkurencinesi1,)</f>
        <v>0</v>
      </c>
      <c r="AB80" s="84">
        <f>SUM(SIS062_F_Kitosirangospr1Paslaugaproduk9,SIS063_F_Kitosirangospr1Paslaugaproduk9,SIS065_F_Kitosirangospr1Paslaugaproduk9)</f>
        <v>0</v>
      </c>
      <c r="AC80" s="85">
        <v>842.28</v>
      </c>
      <c r="AD80" s="86">
        <v>0</v>
      </c>
      <c r="AE80" s="86">
        <v>0</v>
      </c>
      <c r="AF80" s="86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0</v>
      </c>
      <c r="AR80" s="87"/>
      <c r="AS80" s="87"/>
      <c r="AT80" s="87"/>
      <c r="AU80" s="88"/>
      <c r="AV80" s="85"/>
      <c r="AW80" s="86"/>
      <c r="AX80" s="86"/>
      <c r="AY80" s="86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8"/>
      <c r="BO80" s="85"/>
      <c r="BP80" s="86"/>
      <c r="BQ80" s="86"/>
      <c r="BR80" s="86"/>
      <c r="BS80" s="87"/>
      <c r="BT80" s="87"/>
      <c r="BU80" s="87"/>
      <c r="BV80" s="87"/>
      <c r="BW80" s="87"/>
      <c r="BX80" s="87"/>
      <c r="BY80" s="87"/>
      <c r="BZ80" s="87"/>
      <c r="CA80" s="87"/>
      <c r="CB80" s="87"/>
      <c r="CC80" s="87"/>
      <c r="CD80" s="87"/>
      <c r="CE80" s="87"/>
      <c r="CF80" s="87"/>
      <c r="CG80" s="88"/>
      <c r="CH80" s="85"/>
      <c r="CI80" s="86"/>
      <c r="CJ80" s="86"/>
      <c r="CK80" s="86"/>
      <c r="CL80" s="87"/>
      <c r="CM80" s="87"/>
      <c r="CN80" s="87"/>
      <c r="CO80" s="87"/>
      <c r="CP80" s="87"/>
      <c r="CQ80" s="87"/>
      <c r="CR80" s="87"/>
      <c r="CS80" s="87"/>
      <c r="CT80" s="87"/>
      <c r="CU80" s="87"/>
      <c r="CV80" s="87"/>
      <c r="CW80" s="87"/>
      <c r="CX80" s="87"/>
      <c r="CY80" s="87"/>
      <c r="CZ80" s="88"/>
      <c r="DA80" s="85"/>
      <c r="DB80" s="86"/>
      <c r="DC80" s="86"/>
      <c r="DD80" s="86"/>
      <c r="DE80" s="87"/>
      <c r="DF80" s="87"/>
      <c r="DG80" s="87"/>
      <c r="DH80" s="87"/>
      <c r="DI80" s="87"/>
      <c r="DJ80" s="87"/>
      <c r="DK80" s="87"/>
      <c r="DL80" s="87"/>
      <c r="DM80" s="87"/>
      <c r="DN80" s="87"/>
      <c r="DO80" s="87"/>
      <c r="DP80" s="87"/>
      <c r="DQ80" s="87"/>
      <c r="DR80" s="87"/>
      <c r="DS80" s="88"/>
      <c r="DT80" s="85"/>
      <c r="DU80" s="86"/>
      <c r="DV80" s="86"/>
      <c r="DW80" s="86"/>
      <c r="DX80" s="87"/>
      <c r="DY80" s="87"/>
      <c r="DZ80" s="87"/>
      <c r="EA80" s="87"/>
      <c r="EB80" s="87"/>
      <c r="EC80" s="87"/>
      <c r="ED80" s="87"/>
      <c r="EE80" s="87"/>
      <c r="EF80" s="87"/>
      <c r="EG80" s="87"/>
      <c r="EH80" s="87"/>
      <c r="EI80" s="87"/>
      <c r="EJ80" s="87"/>
      <c r="EK80" s="87"/>
      <c r="EL80" s="88"/>
      <c r="EM80" s="85"/>
      <c r="EN80" s="86"/>
      <c r="EO80" s="86"/>
      <c r="EP80" s="86"/>
      <c r="EQ80" s="87"/>
      <c r="ER80" s="87"/>
      <c r="ES80" s="87"/>
      <c r="ET80" s="87"/>
      <c r="EU80" s="87"/>
      <c r="EV80" s="87"/>
      <c r="EW80" s="87"/>
      <c r="EX80" s="87"/>
      <c r="EY80" s="87"/>
      <c r="EZ80" s="87"/>
      <c r="FA80" s="87"/>
      <c r="FB80" s="87"/>
      <c r="FC80" s="87"/>
      <c r="FD80" s="87"/>
      <c r="FE80" s="89"/>
    </row>
    <row r="81" spans="2:161" s="6" customFormat="1" ht="26.4">
      <c r="B81" s="108" t="s">
        <v>145</v>
      </c>
      <c r="C81" s="113" t="s">
        <v>146</v>
      </c>
      <c r="D81" s="81">
        <f t="shared" si="38"/>
        <v>1211.28</v>
      </c>
      <c r="E81" s="82">
        <f t="shared" si="39"/>
        <v>1211.28</v>
      </c>
      <c r="F81" s="83">
        <f t="shared" si="39"/>
        <v>0</v>
      </c>
      <c r="G81" s="83">
        <f t="shared" si="39"/>
        <v>0</v>
      </c>
      <c r="H81" s="83">
        <f t="shared" si="39"/>
        <v>0</v>
      </c>
      <c r="I81" s="84">
        <f t="shared" si="39"/>
        <v>0</v>
      </c>
      <c r="J81" s="84">
        <f t="shared" si="39"/>
        <v>0</v>
      </c>
      <c r="K81" s="84">
        <f t="shared" si="39"/>
        <v>0</v>
      </c>
      <c r="L81" s="84">
        <f t="shared" si="39"/>
        <v>0</v>
      </c>
      <c r="M81" s="84">
        <f t="shared" si="39"/>
        <v>0</v>
      </c>
      <c r="N81" s="84">
        <f t="shared" si="39"/>
        <v>0</v>
      </c>
      <c r="O81" s="84">
        <f t="shared" si="39"/>
        <v>0</v>
      </c>
      <c r="P81" s="84">
        <f t="shared" si="39"/>
        <v>0</v>
      </c>
      <c r="Q81" s="84">
        <f t="shared" si="39"/>
        <v>0</v>
      </c>
      <c r="R81" s="84">
        <f t="shared" si="39"/>
        <v>0</v>
      </c>
      <c r="S81" s="84">
        <f t="shared" si="39"/>
        <v>0</v>
      </c>
      <c r="T81" s="84">
        <f t="shared" ref="T81:V92" si="41">SUM(AR81,BK81,CD81,CW81,DP81,EI81,FB81)</f>
        <v>0</v>
      </c>
      <c r="U81" s="84">
        <f t="shared" si="40"/>
        <v>0</v>
      </c>
      <c r="V81" s="84">
        <f t="shared" si="40"/>
        <v>0</v>
      </c>
      <c r="W81" s="84">
        <f>SIS064_F_Masinuirirengi1Elektrosenergi5</f>
        <v>0</v>
      </c>
      <c r="X81" s="84">
        <f>SUM(SIS062_F_Masinuirirengi1Geriamojovande1,SIS063_F_Masinuirirengi1Geriamojovande1,SIS065_F_Masinuirirengi1Geriamojovande1)</f>
        <v>0</v>
      </c>
      <c r="Y81" s="84">
        <f>SUM(SIS062_F_Masinuirirengi1Paslaugaproduk8,SIS063_F_Masinuirirengi1Paslaugaproduk8,SIS065_F_Masinuirirengi1Paslaugaproduk8)</f>
        <v>0</v>
      </c>
      <c r="Z81" s="84">
        <f>SIS064_F_Masinuirirengi1Elektrosenergi6</f>
        <v>0</v>
      </c>
      <c r="AA81" s="84">
        <f>SUM(SIS062_F_Masinuirirengi1Konkurencinesi1,SIS063_F_Masinuirirengi1Konkurencinesi1,SIS065_F_Masinuirirengi1Konkurencinesi1,)</f>
        <v>0</v>
      </c>
      <c r="AB81" s="84">
        <f>SUM(SIS062_F_Masinuirirengi1Paslaugaproduk9,SIS063_F_Masinuirirengi1Paslaugaproduk9,SIS065_F_Masinuirirengi1Paslaugaproduk9)</f>
        <v>0</v>
      </c>
      <c r="AC81" s="85">
        <v>1211.28</v>
      </c>
      <c r="AD81" s="86">
        <v>0</v>
      </c>
      <c r="AE81" s="86">
        <v>0</v>
      </c>
      <c r="AF81" s="86">
        <v>0</v>
      </c>
      <c r="AG81" s="87">
        <v>0</v>
      </c>
      <c r="AH81" s="87">
        <v>0</v>
      </c>
      <c r="AI81" s="87">
        <v>0</v>
      </c>
      <c r="AJ81" s="87">
        <v>0</v>
      </c>
      <c r="AK81" s="87">
        <v>0</v>
      </c>
      <c r="AL81" s="87">
        <v>0</v>
      </c>
      <c r="AM81" s="87">
        <v>0</v>
      </c>
      <c r="AN81" s="87">
        <v>0</v>
      </c>
      <c r="AO81" s="87">
        <v>0</v>
      </c>
      <c r="AP81" s="87">
        <v>0</v>
      </c>
      <c r="AQ81" s="87">
        <v>0</v>
      </c>
      <c r="AR81" s="87"/>
      <c r="AS81" s="87"/>
      <c r="AT81" s="87"/>
      <c r="AU81" s="88"/>
      <c r="AV81" s="85"/>
      <c r="AW81" s="86"/>
      <c r="AX81" s="86"/>
      <c r="AY81" s="86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8"/>
      <c r="BO81" s="85"/>
      <c r="BP81" s="86"/>
      <c r="BQ81" s="86"/>
      <c r="BR81" s="86"/>
      <c r="BS81" s="87"/>
      <c r="BT81" s="87"/>
      <c r="BU81" s="87"/>
      <c r="BV81" s="87"/>
      <c r="BW81" s="87"/>
      <c r="BX81" s="87"/>
      <c r="BY81" s="87"/>
      <c r="BZ81" s="87"/>
      <c r="CA81" s="87"/>
      <c r="CB81" s="87"/>
      <c r="CC81" s="87"/>
      <c r="CD81" s="87"/>
      <c r="CE81" s="87"/>
      <c r="CF81" s="87"/>
      <c r="CG81" s="88"/>
      <c r="CH81" s="85"/>
      <c r="CI81" s="86"/>
      <c r="CJ81" s="86"/>
      <c r="CK81" s="86"/>
      <c r="CL81" s="87"/>
      <c r="CM81" s="87"/>
      <c r="CN81" s="87"/>
      <c r="CO81" s="87"/>
      <c r="CP81" s="87"/>
      <c r="CQ81" s="87"/>
      <c r="CR81" s="87"/>
      <c r="CS81" s="87"/>
      <c r="CT81" s="87"/>
      <c r="CU81" s="87"/>
      <c r="CV81" s="87"/>
      <c r="CW81" s="87"/>
      <c r="CX81" s="87"/>
      <c r="CY81" s="87"/>
      <c r="CZ81" s="88"/>
      <c r="DA81" s="85"/>
      <c r="DB81" s="86"/>
      <c r="DC81" s="86"/>
      <c r="DD81" s="86"/>
      <c r="DE81" s="87"/>
      <c r="DF81" s="87"/>
      <c r="DG81" s="87"/>
      <c r="DH81" s="87"/>
      <c r="DI81" s="87"/>
      <c r="DJ81" s="87"/>
      <c r="DK81" s="87"/>
      <c r="DL81" s="87"/>
      <c r="DM81" s="87"/>
      <c r="DN81" s="87"/>
      <c r="DO81" s="87"/>
      <c r="DP81" s="87"/>
      <c r="DQ81" s="87"/>
      <c r="DR81" s="87"/>
      <c r="DS81" s="88"/>
      <c r="DT81" s="85"/>
      <c r="DU81" s="86"/>
      <c r="DV81" s="86"/>
      <c r="DW81" s="86"/>
      <c r="DX81" s="87"/>
      <c r="DY81" s="87"/>
      <c r="DZ81" s="87"/>
      <c r="EA81" s="87"/>
      <c r="EB81" s="87"/>
      <c r="EC81" s="87"/>
      <c r="ED81" s="87"/>
      <c r="EE81" s="87"/>
      <c r="EF81" s="87"/>
      <c r="EG81" s="87"/>
      <c r="EH81" s="87"/>
      <c r="EI81" s="87"/>
      <c r="EJ81" s="87"/>
      <c r="EK81" s="87"/>
      <c r="EL81" s="88"/>
      <c r="EM81" s="85"/>
      <c r="EN81" s="86"/>
      <c r="EO81" s="86"/>
      <c r="EP81" s="86"/>
      <c r="EQ81" s="87"/>
      <c r="ER81" s="87"/>
      <c r="ES81" s="87"/>
      <c r="ET81" s="87"/>
      <c r="EU81" s="87"/>
      <c r="EV81" s="87"/>
      <c r="EW81" s="87"/>
      <c r="EX81" s="87"/>
      <c r="EY81" s="87"/>
      <c r="EZ81" s="87"/>
      <c r="FA81" s="87"/>
      <c r="FB81" s="87"/>
      <c r="FC81" s="87"/>
      <c r="FD81" s="87"/>
      <c r="FE81" s="89"/>
    </row>
    <row r="82" spans="2:161" s="6" customFormat="1" ht="13.2">
      <c r="B82" s="108" t="s">
        <v>147</v>
      </c>
      <c r="C82" s="113" t="s">
        <v>148</v>
      </c>
      <c r="D82" s="81">
        <f t="shared" si="38"/>
        <v>63394.2</v>
      </c>
      <c r="E82" s="82">
        <f t="shared" ref="E82:S93" si="42">SUM(AC82,AV82,BO82,CH82,DA82,DT82,EM82)</f>
        <v>63394.2</v>
      </c>
      <c r="F82" s="83">
        <f t="shared" si="42"/>
        <v>0</v>
      </c>
      <c r="G82" s="83">
        <f t="shared" si="42"/>
        <v>0</v>
      </c>
      <c r="H82" s="83">
        <f t="shared" si="42"/>
        <v>0</v>
      </c>
      <c r="I82" s="84">
        <f t="shared" si="42"/>
        <v>0</v>
      </c>
      <c r="J82" s="84">
        <f t="shared" si="42"/>
        <v>0</v>
      </c>
      <c r="K82" s="84">
        <f t="shared" si="42"/>
        <v>0</v>
      </c>
      <c r="L82" s="84">
        <f t="shared" si="42"/>
        <v>0</v>
      </c>
      <c r="M82" s="84">
        <f t="shared" si="42"/>
        <v>0</v>
      </c>
      <c r="N82" s="84">
        <f t="shared" si="42"/>
        <v>0</v>
      </c>
      <c r="O82" s="84">
        <f t="shared" si="42"/>
        <v>0</v>
      </c>
      <c r="P82" s="84">
        <f t="shared" si="42"/>
        <v>0</v>
      </c>
      <c r="Q82" s="84">
        <f t="shared" si="42"/>
        <v>0</v>
      </c>
      <c r="R82" s="84">
        <f t="shared" si="42"/>
        <v>0</v>
      </c>
      <c r="S82" s="84">
        <f t="shared" si="42"/>
        <v>0</v>
      </c>
      <c r="T82" s="84">
        <f t="shared" si="41"/>
        <v>0</v>
      </c>
      <c r="U82" s="84">
        <f t="shared" si="41"/>
        <v>0</v>
      </c>
      <c r="V82" s="84">
        <f t="shared" si="41"/>
        <v>0</v>
      </c>
      <c r="W82" s="84">
        <f>SIS064_F_Masinuirirengi2Elektrosenergi5</f>
        <v>0</v>
      </c>
      <c r="X82" s="84">
        <f>SUM(SIS062_F_Masinuirirengi2Geriamojovande1,SIS063_F_Masinuirirengi2Geriamojovande1,SIS065_F_Masinuirirengi2Geriamojovande1)</f>
        <v>0</v>
      </c>
      <c r="Y82" s="84">
        <f>SUM(SIS062_F_Masinuirirengi2Paslaugaproduk8,SIS063_F_Masinuirirengi2Paslaugaproduk8,SIS065_F_Masinuirirengi2Paslaugaproduk8)</f>
        <v>0</v>
      </c>
      <c r="Z82" s="84">
        <f>SIS064_F_Masinuirirengi2Elektrosenergi6</f>
        <v>0</v>
      </c>
      <c r="AA82" s="84">
        <f>SUM(SIS062_F_Masinuirirengi2Konkurencinesi1,SIS063_F_Masinuirirengi2Konkurencinesi1,SIS065_F_Masinuirirengi2Konkurencinesi1,)</f>
        <v>0</v>
      </c>
      <c r="AB82" s="84">
        <f>SUM(SIS062_F_Masinuirirengi2Paslaugaproduk9,SIS063_F_Masinuirirengi2Paslaugaproduk9,SIS065_F_Masinuirirengi2Paslaugaproduk9)</f>
        <v>0</v>
      </c>
      <c r="AC82" s="85">
        <v>63394.2</v>
      </c>
      <c r="AD82" s="86">
        <v>0</v>
      </c>
      <c r="AE82" s="86">
        <v>0</v>
      </c>
      <c r="AF82" s="86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0</v>
      </c>
      <c r="AO82" s="87">
        <v>0</v>
      </c>
      <c r="AP82" s="87">
        <v>0</v>
      </c>
      <c r="AQ82" s="87">
        <v>0</v>
      </c>
      <c r="AR82" s="87"/>
      <c r="AS82" s="87"/>
      <c r="AT82" s="87"/>
      <c r="AU82" s="88"/>
      <c r="AV82" s="85"/>
      <c r="AW82" s="86"/>
      <c r="AX82" s="86"/>
      <c r="AY82" s="86"/>
      <c r="AZ82" s="87"/>
      <c r="BA82" s="87"/>
      <c r="BB82" s="87"/>
      <c r="BC82" s="87"/>
      <c r="BD82" s="87"/>
      <c r="BE82" s="87"/>
      <c r="BF82" s="87"/>
      <c r="BG82" s="87"/>
      <c r="BH82" s="87"/>
      <c r="BI82" s="87"/>
      <c r="BJ82" s="87"/>
      <c r="BK82" s="87"/>
      <c r="BL82" s="87"/>
      <c r="BM82" s="87"/>
      <c r="BN82" s="88"/>
      <c r="BO82" s="85"/>
      <c r="BP82" s="86"/>
      <c r="BQ82" s="86"/>
      <c r="BR82" s="86"/>
      <c r="BS82" s="87"/>
      <c r="BT82" s="87"/>
      <c r="BU82" s="87"/>
      <c r="BV82" s="87"/>
      <c r="BW82" s="87"/>
      <c r="BX82" s="87"/>
      <c r="BY82" s="87"/>
      <c r="BZ82" s="87"/>
      <c r="CA82" s="87"/>
      <c r="CB82" s="87"/>
      <c r="CC82" s="87"/>
      <c r="CD82" s="87"/>
      <c r="CE82" s="87"/>
      <c r="CF82" s="87"/>
      <c r="CG82" s="88"/>
      <c r="CH82" s="85"/>
      <c r="CI82" s="86"/>
      <c r="CJ82" s="86"/>
      <c r="CK82" s="86"/>
      <c r="CL82" s="87"/>
      <c r="CM82" s="87"/>
      <c r="CN82" s="87"/>
      <c r="CO82" s="87"/>
      <c r="CP82" s="87"/>
      <c r="CQ82" s="87"/>
      <c r="CR82" s="87"/>
      <c r="CS82" s="87"/>
      <c r="CT82" s="87"/>
      <c r="CU82" s="87"/>
      <c r="CV82" s="87"/>
      <c r="CW82" s="87"/>
      <c r="CX82" s="87"/>
      <c r="CY82" s="87"/>
      <c r="CZ82" s="88"/>
      <c r="DA82" s="85"/>
      <c r="DB82" s="86"/>
      <c r="DC82" s="86"/>
      <c r="DD82" s="86"/>
      <c r="DE82" s="87"/>
      <c r="DF82" s="87"/>
      <c r="DG82" s="87"/>
      <c r="DH82" s="87"/>
      <c r="DI82" s="87"/>
      <c r="DJ82" s="87"/>
      <c r="DK82" s="87"/>
      <c r="DL82" s="87"/>
      <c r="DM82" s="87"/>
      <c r="DN82" s="87"/>
      <c r="DO82" s="87"/>
      <c r="DP82" s="87"/>
      <c r="DQ82" s="87"/>
      <c r="DR82" s="87"/>
      <c r="DS82" s="88"/>
      <c r="DT82" s="85"/>
      <c r="DU82" s="86"/>
      <c r="DV82" s="86"/>
      <c r="DW82" s="86"/>
      <c r="DX82" s="87"/>
      <c r="DY82" s="87"/>
      <c r="DZ82" s="87"/>
      <c r="EA82" s="87"/>
      <c r="EB82" s="87"/>
      <c r="EC82" s="87"/>
      <c r="ED82" s="87"/>
      <c r="EE82" s="87"/>
      <c r="EF82" s="87"/>
      <c r="EG82" s="87"/>
      <c r="EH82" s="87"/>
      <c r="EI82" s="87"/>
      <c r="EJ82" s="87"/>
      <c r="EK82" s="87"/>
      <c r="EL82" s="88"/>
      <c r="EM82" s="85"/>
      <c r="EN82" s="86"/>
      <c r="EO82" s="86"/>
      <c r="EP82" s="86"/>
      <c r="EQ82" s="87"/>
      <c r="ER82" s="87"/>
      <c r="ES82" s="87"/>
      <c r="ET82" s="87"/>
      <c r="EU82" s="87"/>
      <c r="EV82" s="87"/>
      <c r="EW82" s="87"/>
      <c r="EX82" s="87"/>
      <c r="EY82" s="87"/>
      <c r="EZ82" s="87"/>
      <c r="FA82" s="87"/>
      <c r="FB82" s="87"/>
      <c r="FC82" s="87"/>
      <c r="FD82" s="87"/>
      <c r="FE82" s="89"/>
    </row>
    <row r="83" spans="2:161" s="6" customFormat="1" ht="26.4">
      <c r="B83" s="108" t="s">
        <v>149</v>
      </c>
      <c r="C83" s="113" t="s">
        <v>150</v>
      </c>
      <c r="D83" s="81">
        <f t="shared" si="38"/>
        <v>1482.5</v>
      </c>
      <c r="E83" s="82">
        <f t="shared" si="42"/>
        <v>0</v>
      </c>
      <c r="F83" s="83">
        <f t="shared" si="42"/>
        <v>0</v>
      </c>
      <c r="G83" s="83">
        <f t="shared" si="42"/>
        <v>0</v>
      </c>
      <c r="H83" s="83">
        <f t="shared" si="42"/>
        <v>0</v>
      </c>
      <c r="I83" s="84">
        <f t="shared" si="42"/>
        <v>0</v>
      </c>
      <c r="J83" s="84">
        <f t="shared" si="42"/>
        <v>1482.5</v>
      </c>
      <c r="K83" s="84">
        <f t="shared" si="42"/>
        <v>0</v>
      </c>
      <c r="L83" s="84">
        <f t="shared" si="42"/>
        <v>0</v>
      </c>
      <c r="M83" s="84">
        <f t="shared" si="42"/>
        <v>0</v>
      </c>
      <c r="N83" s="84">
        <f t="shared" si="42"/>
        <v>0</v>
      </c>
      <c r="O83" s="84">
        <f t="shared" si="42"/>
        <v>0</v>
      </c>
      <c r="P83" s="84">
        <f t="shared" si="42"/>
        <v>0</v>
      </c>
      <c r="Q83" s="84">
        <f t="shared" si="42"/>
        <v>0</v>
      </c>
      <c r="R83" s="84">
        <f t="shared" si="42"/>
        <v>0</v>
      </c>
      <c r="S83" s="84">
        <f t="shared" si="42"/>
        <v>0</v>
      </c>
      <c r="T83" s="84">
        <f t="shared" si="41"/>
        <v>0</v>
      </c>
      <c r="U83" s="84">
        <f t="shared" si="41"/>
        <v>0</v>
      </c>
      <c r="V83" s="84">
        <f t="shared" si="41"/>
        <v>0</v>
      </c>
      <c r="W83" s="84">
        <f>SIS064_F_Masinuirirengi3Elektrosenergi5</f>
        <v>0</v>
      </c>
      <c r="X83" s="84">
        <f>SUM(SIS062_F_Masinuirirengi3Geriamojovande1,SIS063_F_Masinuirirengi3Geriamojovande1,SIS065_F_Masinuirirengi3Geriamojovande1)</f>
        <v>0</v>
      </c>
      <c r="Y83" s="84">
        <f>SUM(SIS062_F_Masinuirirengi3Paslaugaproduk8,SIS063_F_Masinuirirengi3Paslaugaproduk8,SIS065_F_Masinuirirengi3Paslaugaproduk8)</f>
        <v>0</v>
      </c>
      <c r="Z83" s="84">
        <f>SIS064_F_Masinuirirengi3Elektrosenergi6</f>
        <v>0</v>
      </c>
      <c r="AA83" s="84">
        <f>SUM(SIS062_F_Masinuirirengi3Konkurencinesi1,SIS063_F_Masinuirirengi3Konkurencinesi1,SIS065_F_Masinuirirengi3Konkurencinesi1,)</f>
        <v>0</v>
      </c>
      <c r="AB83" s="84">
        <f>SUM(SIS062_F_Masinuirirengi3Paslaugaproduk9,SIS063_F_Masinuirirengi3Paslaugaproduk9,SIS065_F_Masinuirirengi3Paslaugaproduk9)</f>
        <v>0</v>
      </c>
      <c r="AC83" s="85">
        <v>0</v>
      </c>
      <c r="AD83" s="86">
        <v>0</v>
      </c>
      <c r="AE83" s="86">
        <v>0</v>
      </c>
      <c r="AF83" s="86">
        <v>0</v>
      </c>
      <c r="AG83" s="87">
        <v>0</v>
      </c>
      <c r="AH83" s="87">
        <v>1482.5</v>
      </c>
      <c r="AI83" s="87">
        <v>0</v>
      </c>
      <c r="AJ83" s="87">
        <v>0</v>
      </c>
      <c r="AK83" s="87">
        <v>0</v>
      </c>
      <c r="AL83" s="87">
        <v>0</v>
      </c>
      <c r="AM83" s="87">
        <v>0</v>
      </c>
      <c r="AN83" s="87">
        <v>0</v>
      </c>
      <c r="AO83" s="87">
        <v>0</v>
      </c>
      <c r="AP83" s="87">
        <v>0</v>
      </c>
      <c r="AQ83" s="87">
        <v>0</v>
      </c>
      <c r="AR83" s="87"/>
      <c r="AS83" s="87"/>
      <c r="AT83" s="87"/>
      <c r="AU83" s="88"/>
      <c r="AV83" s="85"/>
      <c r="AW83" s="86"/>
      <c r="AX83" s="86"/>
      <c r="AY83" s="86"/>
      <c r="AZ83" s="87"/>
      <c r="BA83" s="87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8"/>
      <c r="BO83" s="85"/>
      <c r="BP83" s="86"/>
      <c r="BQ83" s="86"/>
      <c r="BR83" s="86"/>
      <c r="BS83" s="87"/>
      <c r="BT83" s="87"/>
      <c r="BU83" s="87"/>
      <c r="BV83" s="87"/>
      <c r="BW83" s="87"/>
      <c r="BX83" s="87"/>
      <c r="BY83" s="87"/>
      <c r="BZ83" s="87"/>
      <c r="CA83" s="87"/>
      <c r="CB83" s="87"/>
      <c r="CC83" s="87"/>
      <c r="CD83" s="87"/>
      <c r="CE83" s="87"/>
      <c r="CF83" s="87"/>
      <c r="CG83" s="88"/>
      <c r="CH83" s="85"/>
      <c r="CI83" s="86"/>
      <c r="CJ83" s="86"/>
      <c r="CK83" s="86"/>
      <c r="CL83" s="87"/>
      <c r="CM83" s="87"/>
      <c r="CN83" s="87"/>
      <c r="CO83" s="87"/>
      <c r="CP83" s="87"/>
      <c r="CQ83" s="87"/>
      <c r="CR83" s="87"/>
      <c r="CS83" s="87"/>
      <c r="CT83" s="87"/>
      <c r="CU83" s="87"/>
      <c r="CV83" s="87"/>
      <c r="CW83" s="87"/>
      <c r="CX83" s="87"/>
      <c r="CY83" s="87"/>
      <c r="CZ83" s="88"/>
      <c r="DA83" s="85"/>
      <c r="DB83" s="86"/>
      <c r="DC83" s="86"/>
      <c r="DD83" s="86"/>
      <c r="DE83" s="87"/>
      <c r="DF83" s="87"/>
      <c r="DG83" s="87"/>
      <c r="DH83" s="87"/>
      <c r="DI83" s="87"/>
      <c r="DJ83" s="87"/>
      <c r="DK83" s="87"/>
      <c r="DL83" s="87"/>
      <c r="DM83" s="87"/>
      <c r="DN83" s="87"/>
      <c r="DO83" s="87"/>
      <c r="DP83" s="87"/>
      <c r="DQ83" s="87"/>
      <c r="DR83" s="87"/>
      <c r="DS83" s="88"/>
      <c r="DT83" s="85"/>
      <c r="DU83" s="86"/>
      <c r="DV83" s="86"/>
      <c r="DW83" s="86"/>
      <c r="DX83" s="87"/>
      <c r="DY83" s="87"/>
      <c r="DZ83" s="87"/>
      <c r="EA83" s="87"/>
      <c r="EB83" s="87"/>
      <c r="EC83" s="87"/>
      <c r="ED83" s="87"/>
      <c r="EE83" s="87"/>
      <c r="EF83" s="87"/>
      <c r="EG83" s="87"/>
      <c r="EH83" s="87"/>
      <c r="EI83" s="87"/>
      <c r="EJ83" s="87"/>
      <c r="EK83" s="87"/>
      <c r="EL83" s="88"/>
      <c r="EM83" s="85"/>
      <c r="EN83" s="86"/>
      <c r="EO83" s="86"/>
      <c r="EP83" s="86"/>
      <c r="EQ83" s="87"/>
      <c r="ER83" s="87"/>
      <c r="ES83" s="87"/>
      <c r="ET83" s="87"/>
      <c r="EU83" s="87"/>
      <c r="EV83" s="87"/>
      <c r="EW83" s="87"/>
      <c r="EX83" s="87"/>
      <c r="EY83" s="87"/>
      <c r="EZ83" s="87"/>
      <c r="FA83" s="87"/>
      <c r="FB83" s="87"/>
      <c r="FC83" s="87"/>
      <c r="FD83" s="87"/>
      <c r="FE83" s="89"/>
    </row>
    <row r="84" spans="2:161" s="6" customFormat="1" ht="13.2">
      <c r="B84" s="108" t="s">
        <v>151</v>
      </c>
      <c r="C84" s="113" t="s">
        <v>152</v>
      </c>
      <c r="D84" s="81">
        <f t="shared" si="38"/>
        <v>481.26</v>
      </c>
      <c r="E84" s="82">
        <f t="shared" si="42"/>
        <v>0</v>
      </c>
      <c r="F84" s="83">
        <f t="shared" si="42"/>
        <v>0</v>
      </c>
      <c r="G84" s="83">
        <f t="shared" si="42"/>
        <v>0</v>
      </c>
      <c r="H84" s="83">
        <f t="shared" si="42"/>
        <v>0</v>
      </c>
      <c r="I84" s="84">
        <f t="shared" si="42"/>
        <v>0</v>
      </c>
      <c r="J84" s="84">
        <f t="shared" si="42"/>
        <v>0</v>
      </c>
      <c r="K84" s="84">
        <f t="shared" si="42"/>
        <v>0</v>
      </c>
      <c r="L84" s="84">
        <f t="shared" si="42"/>
        <v>0</v>
      </c>
      <c r="M84" s="84">
        <f t="shared" si="42"/>
        <v>0</v>
      </c>
      <c r="N84" s="84">
        <f t="shared" si="42"/>
        <v>0</v>
      </c>
      <c r="O84" s="84">
        <f t="shared" si="42"/>
        <v>0</v>
      </c>
      <c r="P84" s="84">
        <f t="shared" si="42"/>
        <v>0</v>
      </c>
      <c r="Q84" s="84">
        <f t="shared" si="42"/>
        <v>0</v>
      </c>
      <c r="R84" s="84">
        <f t="shared" si="42"/>
        <v>0</v>
      </c>
      <c r="S84" s="84">
        <f t="shared" si="42"/>
        <v>481.26</v>
      </c>
      <c r="T84" s="84">
        <f t="shared" si="41"/>
        <v>0</v>
      </c>
      <c r="U84" s="84">
        <f t="shared" si="41"/>
        <v>0</v>
      </c>
      <c r="V84" s="84">
        <f t="shared" si="41"/>
        <v>0</v>
      </c>
      <c r="W84" s="84">
        <f>SIS064_F_Masinuirirengi4Elektrosenergi5</f>
        <v>0</v>
      </c>
      <c r="X84" s="84">
        <f>SUM(SIS062_F_Masinuirirengi4Geriamojovande1,SIS063_F_Masinuirirengi4Geriamojovande1,SIS065_F_Masinuirirengi4Geriamojovande1)</f>
        <v>0</v>
      </c>
      <c r="Y84" s="84">
        <f>SUM(SIS062_F_Masinuirirengi4Paslaugaproduk8,SIS063_F_Masinuirirengi4Paslaugaproduk8,SIS065_F_Masinuirirengi4Paslaugaproduk8)</f>
        <v>0</v>
      </c>
      <c r="Z84" s="84">
        <f>SIS064_F_Masinuirirengi4Elektrosenergi6</f>
        <v>0</v>
      </c>
      <c r="AA84" s="84">
        <f>SUM(SIS062_F_Masinuirirengi4Konkurencinesi1,SIS063_F_Masinuirirengi4Konkurencinesi1,SIS065_F_Masinuirirengi4Konkurencinesi1,)</f>
        <v>0</v>
      </c>
      <c r="AB84" s="84">
        <f>SUM(SIS062_F_Masinuirirengi4Paslaugaproduk9,SIS063_F_Masinuirirengi4Paslaugaproduk9,SIS065_F_Masinuirirengi4Paslaugaproduk9)</f>
        <v>0</v>
      </c>
      <c r="AC84" s="85">
        <v>0</v>
      </c>
      <c r="AD84" s="86">
        <v>0</v>
      </c>
      <c r="AE84" s="86">
        <v>0</v>
      </c>
      <c r="AF84" s="86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481.26</v>
      </c>
      <c r="AR84" s="87"/>
      <c r="AS84" s="87"/>
      <c r="AT84" s="87"/>
      <c r="AU84" s="88"/>
      <c r="AV84" s="85"/>
      <c r="AW84" s="86"/>
      <c r="AX84" s="86"/>
      <c r="AY84" s="86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8"/>
      <c r="BO84" s="85"/>
      <c r="BP84" s="86"/>
      <c r="BQ84" s="86"/>
      <c r="BR84" s="86"/>
      <c r="BS84" s="87"/>
      <c r="BT84" s="87"/>
      <c r="BU84" s="87"/>
      <c r="BV84" s="87"/>
      <c r="BW84" s="87"/>
      <c r="BX84" s="87"/>
      <c r="BY84" s="87"/>
      <c r="BZ84" s="87"/>
      <c r="CA84" s="87"/>
      <c r="CB84" s="87"/>
      <c r="CC84" s="87"/>
      <c r="CD84" s="87"/>
      <c r="CE84" s="87"/>
      <c r="CF84" s="87"/>
      <c r="CG84" s="88"/>
      <c r="CH84" s="85"/>
      <c r="CI84" s="86"/>
      <c r="CJ84" s="86"/>
      <c r="CK84" s="86"/>
      <c r="CL84" s="87"/>
      <c r="CM84" s="87"/>
      <c r="CN84" s="87"/>
      <c r="CO84" s="87"/>
      <c r="CP84" s="87"/>
      <c r="CQ84" s="87"/>
      <c r="CR84" s="87"/>
      <c r="CS84" s="87"/>
      <c r="CT84" s="87"/>
      <c r="CU84" s="87"/>
      <c r="CV84" s="87"/>
      <c r="CW84" s="87"/>
      <c r="CX84" s="87"/>
      <c r="CY84" s="87"/>
      <c r="CZ84" s="88"/>
      <c r="DA84" s="85"/>
      <c r="DB84" s="86"/>
      <c r="DC84" s="86"/>
      <c r="DD84" s="86"/>
      <c r="DE84" s="87"/>
      <c r="DF84" s="87"/>
      <c r="DG84" s="87"/>
      <c r="DH84" s="87"/>
      <c r="DI84" s="87"/>
      <c r="DJ84" s="87"/>
      <c r="DK84" s="87"/>
      <c r="DL84" s="87"/>
      <c r="DM84" s="87"/>
      <c r="DN84" s="87"/>
      <c r="DO84" s="87"/>
      <c r="DP84" s="87"/>
      <c r="DQ84" s="87"/>
      <c r="DR84" s="87"/>
      <c r="DS84" s="88"/>
      <c r="DT84" s="85"/>
      <c r="DU84" s="86"/>
      <c r="DV84" s="86"/>
      <c r="DW84" s="86"/>
      <c r="DX84" s="87"/>
      <c r="DY84" s="87"/>
      <c r="DZ84" s="87"/>
      <c r="EA84" s="87"/>
      <c r="EB84" s="87"/>
      <c r="EC84" s="87"/>
      <c r="ED84" s="87"/>
      <c r="EE84" s="87"/>
      <c r="EF84" s="87"/>
      <c r="EG84" s="87"/>
      <c r="EH84" s="87"/>
      <c r="EI84" s="87"/>
      <c r="EJ84" s="87"/>
      <c r="EK84" s="87"/>
      <c r="EL84" s="88"/>
      <c r="EM84" s="85"/>
      <c r="EN84" s="86"/>
      <c r="EO84" s="86"/>
      <c r="EP84" s="86"/>
      <c r="EQ84" s="87"/>
      <c r="ER84" s="87"/>
      <c r="ES84" s="87"/>
      <c r="ET84" s="87"/>
      <c r="EU84" s="87"/>
      <c r="EV84" s="87"/>
      <c r="EW84" s="87"/>
      <c r="EX84" s="87"/>
      <c r="EY84" s="87"/>
      <c r="EZ84" s="87"/>
      <c r="FA84" s="87"/>
      <c r="FB84" s="87"/>
      <c r="FC84" s="87"/>
      <c r="FD84" s="87"/>
      <c r="FE84" s="89"/>
    </row>
    <row r="85" spans="2:161" s="6" customFormat="1" ht="13.2">
      <c r="B85" s="108" t="s">
        <v>153</v>
      </c>
      <c r="C85" s="113" t="s">
        <v>154</v>
      </c>
      <c r="D85" s="81">
        <f t="shared" si="38"/>
        <v>3138.5</v>
      </c>
      <c r="E85" s="82">
        <f t="shared" si="42"/>
        <v>2319.04</v>
      </c>
      <c r="F85" s="83">
        <f t="shared" si="42"/>
        <v>0</v>
      </c>
      <c r="G85" s="83">
        <f t="shared" si="42"/>
        <v>0</v>
      </c>
      <c r="H85" s="83">
        <f t="shared" si="42"/>
        <v>0</v>
      </c>
      <c r="I85" s="84">
        <f t="shared" si="42"/>
        <v>0</v>
      </c>
      <c r="J85" s="84">
        <f t="shared" si="42"/>
        <v>563.14</v>
      </c>
      <c r="K85" s="84">
        <f t="shared" si="42"/>
        <v>0</v>
      </c>
      <c r="L85" s="84">
        <f t="shared" si="42"/>
        <v>0</v>
      </c>
      <c r="M85" s="84">
        <f t="shared" si="42"/>
        <v>0</v>
      </c>
      <c r="N85" s="84">
        <f t="shared" si="42"/>
        <v>0</v>
      </c>
      <c r="O85" s="84">
        <f t="shared" si="42"/>
        <v>0</v>
      </c>
      <c r="P85" s="84">
        <f t="shared" si="42"/>
        <v>256.32</v>
      </c>
      <c r="Q85" s="84">
        <f t="shared" si="42"/>
        <v>0</v>
      </c>
      <c r="R85" s="84">
        <f t="shared" si="42"/>
        <v>0</v>
      </c>
      <c r="S85" s="84">
        <f t="shared" si="42"/>
        <v>0</v>
      </c>
      <c r="T85" s="84">
        <f t="shared" si="41"/>
        <v>0</v>
      </c>
      <c r="U85" s="84">
        <f t="shared" si="41"/>
        <v>0</v>
      </c>
      <c r="V85" s="84">
        <f t="shared" si="41"/>
        <v>0</v>
      </c>
      <c r="W85" s="84">
        <f>SIS064_F_Kitumasinuirir1Elektrosenergi5</f>
        <v>0</v>
      </c>
      <c r="X85" s="84">
        <f>SUM(SIS062_F_Kitumasinuirir1Geriamojovande1,SIS063_F_Kitumasinuirir1Geriamojovande1,SIS065_F_Kitumasinuirir1Geriamojovande1)</f>
        <v>0</v>
      </c>
      <c r="Y85" s="84">
        <f>SUM(SIS062_F_Kitumasinuirir1Paslaugaproduk8,SIS063_F_Kitumasinuirir1Paslaugaproduk8,SIS065_F_Kitumasinuirir1Paslaugaproduk8)</f>
        <v>0</v>
      </c>
      <c r="Z85" s="84">
        <f>SIS064_F_Kitumasinuirir1Elektrosenergi6</f>
        <v>0</v>
      </c>
      <c r="AA85" s="84">
        <f>SUM(SIS062_F_Kitumasinuirir1Konkurencinesi1,SIS063_F_Kitumasinuirir1Konkurencinesi1,SIS065_F_Kitumasinuirir1Konkurencinesi1,)</f>
        <v>0</v>
      </c>
      <c r="AB85" s="84">
        <f>SUM(SIS062_F_Kitumasinuirir1Paslaugaproduk9,SIS063_F_Kitumasinuirir1Paslaugaproduk9,SIS065_F_Kitumasinuirir1Paslaugaproduk9)</f>
        <v>0</v>
      </c>
      <c r="AC85" s="85">
        <v>2319.04</v>
      </c>
      <c r="AD85" s="86">
        <v>0</v>
      </c>
      <c r="AE85" s="86">
        <v>0</v>
      </c>
      <c r="AF85" s="86">
        <v>0</v>
      </c>
      <c r="AG85" s="87">
        <v>0</v>
      </c>
      <c r="AH85" s="87">
        <v>563.14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256.32</v>
      </c>
      <c r="AO85" s="87">
        <v>0</v>
      </c>
      <c r="AP85" s="87">
        <v>0</v>
      </c>
      <c r="AQ85" s="87">
        <v>0</v>
      </c>
      <c r="AR85" s="87"/>
      <c r="AS85" s="87"/>
      <c r="AT85" s="87"/>
      <c r="AU85" s="88"/>
      <c r="AV85" s="85"/>
      <c r="AW85" s="86"/>
      <c r="AX85" s="86"/>
      <c r="AY85" s="86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8"/>
      <c r="BO85" s="85"/>
      <c r="BP85" s="86"/>
      <c r="BQ85" s="86"/>
      <c r="BR85" s="86"/>
      <c r="BS85" s="87"/>
      <c r="BT85" s="87"/>
      <c r="BU85" s="87"/>
      <c r="BV85" s="87"/>
      <c r="BW85" s="87"/>
      <c r="BX85" s="87"/>
      <c r="BY85" s="87"/>
      <c r="BZ85" s="87"/>
      <c r="CA85" s="87"/>
      <c r="CB85" s="87"/>
      <c r="CC85" s="87"/>
      <c r="CD85" s="87"/>
      <c r="CE85" s="87"/>
      <c r="CF85" s="87"/>
      <c r="CG85" s="88"/>
      <c r="CH85" s="85"/>
      <c r="CI85" s="86"/>
      <c r="CJ85" s="86"/>
      <c r="CK85" s="86"/>
      <c r="CL85" s="87"/>
      <c r="CM85" s="87"/>
      <c r="CN85" s="87"/>
      <c r="CO85" s="87"/>
      <c r="CP85" s="87"/>
      <c r="CQ85" s="87"/>
      <c r="CR85" s="87"/>
      <c r="CS85" s="87"/>
      <c r="CT85" s="87"/>
      <c r="CU85" s="87"/>
      <c r="CV85" s="87"/>
      <c r="CW85" s="87"/>
      <c r="CX85" s="87"/>
      <c r="CY85" s="87"/>
      <c r="CZ85" s="88"/>
      <c r="DA85" s="85"/>
      <c r="DB85" s="86"/>
      <c r="DC85" s="86"/>
      <c r="DD85" s="86"/>
      <c r="DE85" s="87"/>
      <c r="DF85" s="87"/>
      <c r="DG85" s="87"/>
      <c r="DH85" s="87"/>
      <c r="DI85" s="87"/>
      <c r="DJ85" s="87"/>
      <c r="DK85" s="87"/>
      <c r="DL85" s="87"/>
      <c r="DM85" s="87"/>
      <c r="DN85" s="87"/>
      <c r="DO85" s="87"/>
      <c r="DP85" s="87"/>
      <c r="DQ85" s="87"/>
      <c r="DR85" s="87"/>
      <c r="DS85" s="88"/>
      <c r="DT85" s="85"/>
      <c r="DU85" s="86"/>
      <c r="DV85" s="86"/>
      <c r="DW85" s="86"/>
      <c r="DX85" s="87"/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7"/>
      <c r="EJ85" s="87"/>
      <c r="EK85" s="87"/>
      <c r="EL85" s="88"/>
      <c r="EM85" s="85"/>
      <c r="EN85" s="86"/>
      <c r="EO85" s="86"/>
      <c r="EP85" s="86"/>
      <c r="EQ85" s="87"/>
      <c r="ER85" s="87"/>
      <c r="ES85" s="87"/>
      <c r="ET85" s="87"/>
      <c r="EU85" s="87"/>
      <c r="EV85" s="87"/>
      <c r="EW85" s="87"/>
      <c r="EX85" s="87"/>
      <c r="EY85" s="87"/>
      <c r="EZ85" s="87"/>
      <c r="FA85" s="87"/>
      <c r="FB85" s="87"/>
      <c r="FC85" s="87"/>
      <c r="FD85" s="87"/>
      <c r="FE85" s="89"/>
    </row>
    <row r="86" spans="2:161" s="6" customFormat="1" ht="13.2">
      <c r="B86" s="108" t="s">
        <v>155</v>
      </c>
      <c r="C86" s="113" t="s">
        <v>156</v>
      </c>
      <c r="D86" s="81">
        <f t="shared" si="38"/>
        <v>84.34</v>
      </c>
      <c r="E86" s="82">
        <f t="shared" si="42"/>
        <v>84.34</v>
      </c>
      <c r="F86" s="83">
        <f t="shared" si="42"/>
        <v>0</v>
      </c>
      <c r="G86" s="83">
        <f t="shared" si="42"/>
        <v>0</v>
      </c>
      <c r="H86" s="83">
        <f t="shared" si="42"/>
        <v>0</v>
      </c>
      <c r="I86" s="84">
        <f t="shared" si="42"/>
        <v>0</v>
      </c>
      <c r="J86" s="84">
        <f t="shared" si="42"/>
        <v>0</v>
      </c>
      <c r="K86" s="84">
        <f t="shared" si="42"/>
        <v>0</v>
      </c>
      <c r="L86" s="84">
        <f t="shared" si="42"/>
        <v>0</v>
      </c>
      <c r="M86" s="84">
        <f t="shared" si="42"/>
        <v>0</v>
      </c>
      <c r="N86" s="84">
        <f t="shared" si="42"/>
        <v>0</v>
      </c>
      <c r="O86" s="84">
        <f t="shared" si="42"/>
        <v>0</v>
      </c>
      <c r="P86" s="84">
        <f t="shared" si="42"/>
        <v>0</v>
      </c>
      <c r="Q86" s="84">
        <f t="shared" si="42"/>
        <v>0</v>
      </c>
      <c r="R86" s="84">
        <f t="shared" si="42"/>
        <v>0</v>
      </c>
      <c r="S86" s="84">
        <f t="shared" si="42"/>
        <v>0</v>
      </c>
      <c r="T86" s="84">
        <f t="shared" si="41"/>
        <v>0</v>
      </c>
      <c r="U86" s="84">
        <f t="shared" si="41"/>
        <v>0</v>
      </c>
      <c r="V86" s="84">
        <f t="shared" si="41"/>
        <v>0</v>
      </c>
      <c r="W86" s="84">
        <f>SIS064_F_Kitosirangospr2Elektrosenergi5</f>
        <v>0</v>
      </c>
      <c r="X86" s="84">
        <f>SUM(SIS062_F_Kitosirangospr2Geriamojovande1,SIS063_F_Kitosirangospr2Geriamojovande1,SIS065_F_Kitosirangospr2Geriamojovande1)</f>
        <v>0</v>
      </c>
      <c r="Y86" s="84">
        <f>SUM(SIS062_F_Kitosirangospr2Paslaugaproduk8,SIS063_F_Kitosirangospr2Paslaugaproduk8,SIS065_F_Kitosirangospr2Paslaugaproduk8)</f>
        <v>0</v>
      </c>
      <c r="Z86" s="84">
        <f>SIS064_F_Kitosirangospr2Elektrosenergi6</f>
        <v>0</v>
      </c>
      <c r="AA86" s="84">
        <f>SUM(SIS062_F_Kitosirangospr2Konkurencinesi1,SIS063_F_Kitosirangospr2Konkurencinesi1,SIS065_F_Kitosirangospr2Konkurencinesi1,)</f>
        <v>0</v>
      </c>
      <c r="AB86" s="84">
        <f>SUM(SIS062_F_Kitosirangospr2Paslaugaproduk9,SIS063_F_Kitosirangospr2Paslaugaproduk9,SIS065_F_Kitosirangospr2Paslaugaproduk9)</f>
        <v>0</v>
      </c>
      <c r="AC86" s="85">
        <v>84.34</v>
      </c>
      <c r="AD86" s="86">
        <v>0</v>
      </c>
      <c r="AE86" s="86">
        <v>0</v>
      </c>
      <c r="AF86" s="86">
        <v>0</v>
      </c>
      <c r="AG86" s="87">
        <v>0</v>
      </c>
      <c r="AH86" s="87">
        <v>0</v>
      </c>
      <c r="AI86" s="87">
        <v>0</v>
      </c>
      <c r="AJ86" s="87">
        <v>0</v>
      </c>
      <c r="AK86" s="87">
        <v>0</v>
      </c>
      <c r="AL86" s="87">
        <v>0</v>
      </c>
      <c r="AM86" s="87">
        <v>0</v>
      </c>
      <c r="AN86" s="87">
        <v>0</v>
      </c>
      <c r="AO86" s="87">
        <v>0</v>
      </c>
      <c r="AP86" s="87">
        <v>0</v>
      </c>
      <c r="AQ86" s="87">
        <v>0</v>
      </c>
      <c r="AR86" s="87"/>
      <c r="AS86" s="87"/>
      <c r="AT86" s="87"/>
      <c r="AU86" s="88"/>
      <c r="AV86" s="85"/>
      <c r="AW86" s="86"/>
      <c r="AX86" s="86"/>
      <c r="AY86" s="86"/>
      <c r="AZ86" s="87"/>
      <c r="BA86" s="87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88"/>
      <c r="BO86" s="85"/>
      <c r="BP86" s="86"/>
      <c r="BQ86" s="86"/>
      <c r="BR86" s="86"/>
      <c r="BS86" s="87"/>
      <c r="BT86" s="87"/>
      <c r="BU86" s="87"/>
      <c r="BV86" s="87"/>
      <c r="BW86" s="87"/>
      <c r="BX86" s="87"/>
      <c r="BY86" s="87"/>
      <c r="BZ86" s="87"/>
      <c r="CA86" s="87"/>
      <c r="CB86" s="87"/>
      <c r="CC86" s="87"/>
      <c r="CD86" s="87"/>
      <c r="CE86" s="87"/>
      <c r="CF86" s="87"/>
      <c r="CG86" s="88"/>
      <c r="CH86" s="85"/>
      <c r="CI86" s="86"/>
      <c r="CJ86" s="86"/>
      <c r="CK86" s="86"/>
      <c r="CL86" s="87"/>
      <c r="CM86" s="87"/>
      <c r="CN86" s="87"/>
      <c r="CO86" s="87"/>
      <c r="CP86" s="87"/>
      <c r="CQ86" s="87"/>
      <c r="CR86" s="87"/>
      <c r="CS86" s="87"/>
      <c r="CT86" s="87"/>
      <c r="CU86" s="87"/>
      <c r="CV86" s="87"/>
      <c r="CW86" s="87"/>
      <c r="CX86" s="87"/>
      <c r="CY86" s="87"/>
      <c r="CZ86" s="88"/>
      <c r="DA86" s="85"/>
      <c r="DB86" s="86"/>
      <c r="DC86" s="86"/>
      <c r="DD86" s="86"/>
      <c r="DE86" s="87"/>
      <c r="DF86" s="87"/>
      <c r="DG86" s="87"/>
      <c r="DH86" s="87"/>
      <c r="DI86" s="87"/>
      <c r="DJ86" s="87"/>
      <c r="DK86" s="87"/>
      <c r="DL86" s="87"/>
      <c r="DM86" s="87"/>
      <c r="DN86" s="87"/>
      <c r="DO86" s="87"/>
      <c r="DP86" s="87"/>
      <c r="DQ86" s="87"/>
      <c r="DR86" s="87"/>
      <c r="DS86" s="88"/>
      <c r="DT86" s="85"/>
      <c r="DU86" s="86"/>
      <c r="DV86" s="86"/>
      <c r="DW86" s="86"/>
      <c r="DX86" s="87"/>
      <c r="DY86" s="87"/>
      <c r="DZ86" s="87"/>
      <c r="EA86" s="87"/>
      <c r="EB86" s="87"/>
      <c r="EC86" s="87"/>
      <c r="ED86" s="87"/>
      <c r="EE86" s="87"/>
      <c r="EF86" s="87"/>
      <c r="EG86" s="87"/>
      <c r="EH86" s="87"/>
      <c r="EI86" s="87"/>
      <c r="EJ86" s="87"/>
      <c r="EK86" s="87"/>
      <c r="EL86" s="88"/>
      <c r="EM86" s="85"/>
      <c r="EN86" s="86"/>
      <c r="EO86" s="86"/>
      <c r="EP86" s="86"/>
      <c r="EQ86" s="87"/>
      <c r="ER86" s="87"/>
      <c r="ES86" s="87"/>
      <c r="ET86" s="87"/>
      <c r="EU86" s="87"/>
      <c r="EV86" s="87"/>
      <c r="EW86" s="87"/>
      <c r="EX86" s="87"/>
      <c r="EY86" s="87"/>
      <c r="EZ86" s="87"/>
      <c r="FA86" s="87"/>
      <c r="FB86" s="87"/>
      <c r="FC86" s="87"/>
      <c r="FD86" s="87"/>
      <c r="FE86" s="89"/>
    </row>
    <row r="87" spans="2:161" s="6" customFormat="1" ht="26.4">
      <c r="B87" s="108" t="s">
        <v>157</v>
      </c>
      <c r="C87" s="113" t="s">
        <v>158</v>
      </c>
      <c r="D87" s="81">
        <f t="shared" si="38"/>
        <v>205.87</v>
      </c>
      <c r="E87" s="82">
        <f t="shared" si="42"/>
        <v>0</v>
      </c>
      <c r="F87" s="83">
        <f t="shared" si="42"/>
        <v>0</v>
      </c>
      <c r="G87" s="83">
        <f t="shared" si="42"/>
        <v>0</v>
      </c>
      <c r="H87" s="83">
        <f t="shared" si="42"/>
        <v>0</v>
      </c>
      <c r="I87" s="84">
        <f t="shared" si="42"/>
        <v>0</v>
      </c>
      <c r="J87" s="84">
        <f t="shared" si="42"/>
        <v>0</v>
      </c>
      <c r="K87" s="84">
        <f t="shared" si="42"/>
        <v>0</v>
      </c>
      <c r="L87" s="84">
        <f t="shared" si="42"/>
        <v>0</v>
      </c>
      <c r="M87" s="84">
        <f t="shared" si="42"/>
        <v>205.87</v>
      </c>
      <c r="N87" s="84">
        <f t="shared" si="42"/>
        <v>0</v>
      </c>
      <c r="O87" s="84">
        <f t="shared" si="42"/>
        <v>0</v>
      </c>
      <c r="P87" s="84">
        <f t="shared" si="42"/>
        <v>0</v>
      </c>
      <c r="Q87" s="84">
        <f t="shared" si="42"/>
        <v>0</v>
      </c>
      <c r="R87" s="84">
        <f t="shared" si="42"/>
        <v>0</v>
      </c>
      <c r="S87" s="84">
        <f t="shared" si="42"/>
        <v>0</v>
      </c>
      <c r="T87" s="84">
        <f t="shared" si="41"/>
        <v>0</v>
      </c>
      <c r="U87" s="84">
        <f t="shared" si="41"/>
        <v>0</v>
      </c>
      <c r="V87" s="84">
        <f t="shared" si="41"/>
        <v>0</v>
      </c>
      <c r="W87" s="84">
        <f>SIS064_F_Kitosirangospr3Elektrosenergi5</f>
        <v>0</v>
      </c>
      <c r="X87" s="84">
        <f>SUM(SIS062_F_Kitosirangospr3Geriamojovande1,SIS063_F_Kitosirangospr3Geriamojovande1,SIS065_F_Kitosirangospr3Geriamojovande1)</f>
        <v>0</v>
      </c>
      <c r="Y87" s="84">
        <f>SUM(SIS062_F_Kitosirangospr3Paslaugaproduk8,SIS063_F_Kitosirangospr3Paslaugaproduk8,SIS065_F_Kitosirangospr3Paslaugaproduk8)</f>
        <v>0</v>
      </c>
      <c r="Z87" s="84">
        <f>SIS064_F_Kitosirangospr3Elektrosenergi6</f>
        <v>0</v>
      </c>
      <c r="AA87" s="84">
        <f>SUM(SIS062_F_Kitosirangospr3Konkurencinesi1,SIS063_F_Kitosirangospr3Konkurencinesi1,SIS065_F_Kitosirangospr3Konkurencinesi1,)</f>
        <v>0</v>
      </c>
      <c r="AB87" s="84">
        <f>SUM(SIS062_F_Kitosirangospr3Paslaugaproduk9,SIS063_F_Kitosirangospr3Paslaugaproduk9,SIS065_F_Kitosirangospr3Paslaugaproduk9)</f>
        <v>0</v>
      </c>
      <c r="AC87" s="85">
        <v>0</v>
      </c>
      <c r="AD87" s="86">
        <v>0</v>
      </c>
      <c r="AE87" s="86">
        <v>0</v>
      </c>
      <c r="AF87" s="86">
        <v>0</v>
      </c>
      <c r="AG87" s="87">
        <v>0</v>
      </c>
      <c r="AH87" s="87">
        <v>0</v>
      </c>
      <c r="AI87" s="87">
        <v>0</v>
      </c>
      <c r="AJ87" s="87">
        <v>0</v>
      </c>
      <c r="AK87" s="87">
        <v>205.87</v>
      </c>
      <c r="AL87" s="87">
        <v>0</v>
      </c>
      <c r="AM87" s="87">
        <v>0</v>
      </c>
      <c r="AN87" s="87">
        <v>0</v>
      </c>
      <c r="AO87" s="87">
        <v>0</v>
      </c>
      <c r="AP87" s="87">
        <v>0</v>
      </c>
      <c r="AQ87" s="87">
        <v>0</v>
      </c>
      <c r="AR87" s="87"/>
      <c r="AS87" s="87"/>
      <c r="AT87" s="87"/>
      <c r="AU87" s="88"/>
      <c r="AV87" s="85"/>
      <c r="AW87" s="86"/>
      <c r="AX87" s="86"/>
      <c r="AY87" s="86"/>
      <c r="AZ87" s="87"/>
      <c r="BA87" s="87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8"/>
      <c r="BO87" s="85"/>
      <c r="BP87" s="86"/>
      <c r="BQ87" s="86"/>
      <c r="BR87" s="86"/>
      <c r="BS87" s="87"/>
      <c r="BT87" s="87"/>
      <c r="BU87" s="87"/>
      <c r="BV87" s="87"/>
      <c r="BW87" s="87"/>
      <c r="BX87" s="87"/>
      <c r="BY87" s="87"/>
      <c r="BZ87" s="87"/>
      <c r="CA87" s="87"/>
      <c r="CB87" s="87"/>
      <c r="CC87" s="87"/>
      <c r="CD87" s="87"/>
      <c r="CE87" s="87"/>
      <c r="CF87" s="87"/>
      <c r="CG87" s="88"/>
      <c r="CH87" s="85"/>
      <c r="CI87" s="86"/>
      <c r="CJ87" s="86"/>
      <c r="CK87" s="86"/>
      <c r="CL87" s="87"/>
      <c r="CM87" s="87"/>
      <c r="CN87" s="87"/>
      <c r="CO87" s="87"/>
      <c r="CP87" s="87"/>
      <c r="CQ87" s="87"/>
      <c r="CR87" s="87"/>
      <c r="CS87" s="87"/>
      <c r="CT87" s="87"/>
      <c r="CU87" s="87"/>
      <c r="CV87" s="87"/>
      <c r="CW87" s="87"/>
      <c r="CX87" s="87"/>
      <c r="CY87" s="87"/>
      <c r="CZ87" s="88"/>
      <c r="DA87" s="85"/>
      <c r="DB87" s="86"/>
      <c r="DC87" s="86"/>
      <c r="DD87" s="86"/>
      <c r="DE87" s="87"/>
      <c r="DF87" s="87"/>
      <c r="DG87" s="87"/>
      <c r="DH87" s="87"/>
      <c r="DI87" s="87"/>
      <c r="DJ87" s="87"/>
      <c r="DK87" s="87"/>
      <c r="DL87" s="87"/>
      <c r="DM87" s="87"/>
      <c r="DN87" s="87"/>
      <c r="DO87" s="87"/>
      <c r="DP87" s="87"/>
      <c r="DQ87" s="87"/>
      <c r="DR87" s="87"/>
      <c r="DS87" s="88"/>
      <c r="DT87" s="85"/>
      <c r="DU87" s="86"/>
      <c r="DV87" s="86"/>
      <c r="DW87" s="86"/>
      <c r="DX87" s="87"/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7"/>
      <c r="EJ87" s="87"/>
      <c r="EK87" s="87"/>
      <c r="EL87" s="88"/>
      <c r="EM87" s="85"/>
      <c r="EN87" s="86"/>
      <c r="EO87" s="86"/>
      <c r="EP87" s="86"/>
      <c r="EQ87" s="87"/>
      <c r="ER87" s="87"/>
      <c r="ES87" s="87"/>
      <c r="ET87" s="87"/>
      <c r="EU87" s="87"/>
      <c r="EV87" s="87"/>
      <c r="EW87" s="87"/>
      <c r="EX87" s="87"/>
      <c r="EY87" s="87"/>
      <c r="EZ87" s="87"/>
      <c r="FA87" s="87"/>
      <c r="FB87" s="87"/>
      <c r="FC87" s="87"/>
      <c r="FD87" s="87"/>
      <c r="FE87" s="89"/>
    </row>
    <row r="88" spans="2:161" s="6" customFormat="1" ht="26.4">
      <c r="B88" s="108" t="s">
        <v>159</v>
      </c>
      <c r="C88" s="113" t="s">
        <v>160</v>
      </c>
      <c r="D88" s="81">
        <f t="shared" si="38"/>
        <v>4291.22</v>
      </c>
      <c r="E88" s="82">
        <f t="shared" si="42"/>
        <v>2800.87</v>
      </c>
      <c r="F88" s="83">
        <f t="shared" si="42"/>
        <v>0</v>
      </c>
      <c r="G88" s="83">
        <f t="shared" si="42"/>
        <v>0</v>
      </c>
      <c r="H88" s="83">
        <f t="shared" si="42"/>
        <v>0</v>
      </c>
      <c r="I88" s="84">
        <f t="shared" si="42"/>
        <v>0</v>
      </c>
      <c r="J88" s="84">
        <f t="shared" si="42"/>
        <v>788.51</v>
      </c>
      <c r="K88" s="84">
        <f t="shared" si="42"/>
        <v>0</v>
      </c>
      <c r="L88" s="84">
        <f t="shared" si="42"/>
        <v>0</v>
      </c>
      <c r="M88" s="84">
        <f t="shared" si="42"/>
        <v>0</v>
      </c>
      <c r="N88" s="84">
        <f t="shared" si="42"/>
        <v>0</v>
      </c>
      <c r="O88" s="84">
        <f t="shared" si="42"/>
        <v>0</v>
      </c>
      <c r="P88" s="84">
        <f t="shared" si="42"/>
        <v>701.84</v>
      </c>
      <c r="Q88" s="84">
        <f t="shared" si="42"/>
        <v>0</v>
      </c>
      <c r="R88" s="84">
        <f t="shared" si="42"/>
        <v>0</v>
      </c>
      <c r="S88" s="84">
        <f t="shared" si="42"/>
        <v>0</v>
      </c>
      <c r="T88" s="84">
        <f t="shared" si="41"/>
        <v>0</v>
      </c>
      <c r="U88" s="84">
        <f t="shared" si="41"/>
        <v>0</v>
      </c>
      <c r="V88" s="84">
        <f t="shared" si="41"/>
        <v>0</v>
      </c>
      <c r="W88" s="84">
        <f>SIS064_F_Kitosirangospr4Elektrosenergi5</f>
        <v>0</v>
      </c>
      <c r="X88" s="84">
        <f>SUM(SIS062_F_Kitosirangospr4Geriamojovande1,SIS063_F_Kitosirangospr4Geriamojovande1,SIS065_F_Kitosirangospr4Geriamojovande1)</f>
        <v>0</v>
      </c>
      <c r="Y88" s="84">
        <f>SUM(SIS062_F_Kitosirangospr4Paslaugaproduk8,SIS063_F_Kitosirangospr4Paslaugaproduk8,SIS065_F_Kitosirangospr4Paslaugaproduk8)</f>
        <v>0</v>
      </c>
      <c r="Z88" s="84">
        <f>SIS064_F_Kitosirangospr4Elektrosenergi6</f>
        <v>0</v>
      </c>
      <c r="AA88" s="84">
        <f>SUM(SIS062_F_Kitosirangospr4Konkurencinesi1,SIS063_F_Kitosirangospr4Konkurencinesi1,SIS065_F_Kitosirangospr4Konkurencinesi1,)</f>
        <v>0</v>
      </c>
      <c r="AB88" s="84">
        <f>SUM(SIS062_F_Kitosirangospr4Paslaugaproduk9,SIS063_F_Kitosirangospr4Paslaugaproduk9,SIS065_F_Kitosirangospr4Paslaugaproduk9)</f>
        <v>0</v>
      </c>
      <c r="AC88" s="85">
        <v>2800.87</v>
      </c>
      <c r="AD88" s="86">
        <v>0</v>
      </c>
      <c r="AE88" s="86">
        <v>0</v>
      </c>
      <c r="AF88" s="86">
        <v>0</v>
      </c>
      <c r="AG88" s="87">
        <v>0</v>
      </c>
      <c r="AH88" s="87">
        <v>788.51</v>
      </c>
      <c r="AI88" s="87">
        <v>0</v>
      </c>
      <c r="AJ88" s="87">
        <v>0</v>
      </c>
      <c r="AK88" s="87">
        <v>0</v>
      </c>
      <c r="AL88" s="87">
        <v>0</v>
      </c>
      <c r="AM88" s="87">
        <v>0</v>
      </c>
      <c r="AN88" s="87">
        <v>701.84</v>
      </c>
      <c r="AO88" s="87">
        <v>0</v>
      </c>
      <c r="AP88" s="87">
        <v>0</v>
      </c>
      <c r="AQ88" s="87">
        <v>0</v>
      </c>
      <c r="AR88" s="87"/>
      <c r="AS88" s="87"/>
      <c r="AT88" s="87"/>
      <c r="AU88" s="88"/>
      <c r="AV88" s="85"/>
      <c r="AW88" s="86"/>
      <c r="AX88" s="86"/>
      <c r="AY88" s="86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8"/>
      <c r="BO88" s="85"/>
      <c r="BP88" s="86"/>
      <c r="BQ88" s="86"/>
      <c r="BR88" s="86"/>
      <c r="BS88" s="87"/>
      <c r="BT88" s="87"/>
      <c r="BU88" s="87"/>
      <c r="BV88" s="87"/>
      <c r="BW88" s="87"/>
      <c r="BX88" s="87"/>
      <c r="BY88" s="87"/>
      <c r="BZ88" s="87"/>
      <c r="CA88" s="87"/>
      <c r="CB88" s="87"/>
      <c r="CC88" s="87"/>
      <c r="CD88" s="87"/>
      <c r="CE88" s="87"/>
      <c r="CF88" s="87"/>
      <c r="CG88" s="88"/>
      <c r="CH88" s="85"/>
      <c r="CI88" s="86"/>
      <c r="CJ88" s="86"/>
      <c r="CK88" s="86"/>
      <c r="CL88" s="87"/>
      <c r="CM88" s="87"/>
      <c r="CN88" s="87"/>
      <c r="CO88" s="87"/>
      <c r="CP88" s="87"/>
      <c r="CQ88" s="87"/>
      <c r="CR88" s="87"/>
      <c r="CS88" s="87"/>
      <c r="CT88" s="87"/>
      <c r="CU88" s="87"/>
      <c r="CV88" s="87"/>
      <c r="CW88" s="87"/>
      <c r="CX88" s="87"/>
      <c r="CY88" s="87"/>
      <c r="CZ88" s="88"/>
      <c r="DA88" s="85"/>
      <c r="DB88" s="86"/>
      <c r="DC88" s="86"/>
      <c r="DD88" s="86"/>
      <c r="DE88" s="87"/>
      <c r="DF88" s="87"/>
      <c r="DG88" s="87"/>
      <c r="DH88" s="87"/>
      <c r="DI88" s="87"/>
      <c r="DJ88" s="87"/>
      <c r="DK88" s="87"/>
      <c r="DL88" s="87"/>
      <c r="DM88" s="87"/>
      <c r="DN88" s="87"/>
      <c r="DO88" s="87"/>
      <c r="DP88" s="87"/>
      <c r="DQ88" s="87"/>
      <c r="DR88" s="87"/>
      <c r="DS88" s="88"/>
      <c r="DT88" s="85"/>
      <c r="DU88" s="86"/>
      <c r="DV88" s="86"/>
      <c r="DW88" s="86"/>
      <c r="DX88" s="87"/>
      <c r="DY88" s="87"/>
      <c r="DZ88" s="87"/>
      <c r="EA88" s="87"/>
      <c r="EB88" s="87"/>
      <c r="EC88" s="87"/>
      <c r="ED88" s="87"/>
      <c r="EE88" s="87"/>
      <c r="EF88" s="87"/>
      <c r="EG88" s="87"/>
      <c r="EH88" s="87"/>
      <c r="EI88" s="87"/>
      <c r="EJ88" s="87"/>
      <c r="EK88" s="87"/>
      <c r="EL88" s="88"/>
      <c r="EM88" s="85"/>
      <c r="EN88" s="86"/>
      <c r="EO88" s="86"/>
      <c r="EP88" s="86"/>
      <c r="EQ88" s="87"/>
      <c r="ER88" s="87"/>
      <c r="ES88" s="87"/>
      <c r="ET88" s="87"/>
      <c r="EU88" s="87"/>
      <c r="EV88" s="87"/>
      <c r="EW88" s="87"/>
      <c r="EX88" s="87"/>
      <c r="EY88" s="87"/>
      <c r="EZ88" s="87"/>
      <c r="FA88" s="87"/>
      <c r="FB88" s="87"/>
      <c r="FC88" s="87"/>
      <c r="FD88" s="87"/>
      <c r="FE88" s="89"/>
    </row>
    <row r="89" spans="2:161" s="6" customFormat="1" ht="13.2">
      <c r="B89" s="108" t="s">
        <v>161</v>
      </c>
      <c r="C89" s="113" t="s">
        <v>162</v>
      </c>
      <c r="D89" s="81">
        <f t="shared" si="38"/>
        <v>149.16</v>
      </c>
      <c r="E89" s="82">
        <f t="shared" si="42"/>
        <v>119.33</v>
      </c>
      <c r="F89" s="83">
        <f t="shared" si="42"/>
        <v>0</v>
      </c>
      <c r="G89" s="83">
        <f t="shared" si="42"/>
        <v>0</v>
      </c>
      <c r="H89" s="83">
        <f t="shared" si="42"/>
        <v>0</v>
      </c>
      <c r="I89" s="84">
        <f t="shared" si="42"/>
        <v>0</v>
      </c>
      <c r="J89" s="84">
        <f t="shared" si="42"/>
        <v>29.83</v>
      </c>
      <c r="K89" s="84">
        <f t="shared" si="42"/>
        <v>0</v>
      </c>
      <c r="L89" s="84">
        <f t="shared" si="42"/>
        <v>0</v>
      </c>
      <c r="M89" s="84">
        <f t="shared" si="42"/>
        <v>0</v>
      </c>
      <c r="N89" s="84">
        <f t="shared" si="42"/>
        <v>0</v>
      </c>
      <c r="O89" s="84">
        <f t="shared" si="42"/>
        <v>0</v>
      </c>
      <c r="P89" s="84">
        <f t="shared" si="42"/>
        <v>0</v>
      </c>
      <c r="Q89" s="84">
        <f t="shared" si="42"/>
        <v>0</v>
      </c>
      <c r="R89" s="84">
        <f t="shared" si="42"/>
        <v>0</v>
      </c>
      <c r="S89" s="84">
        <f t="shared" si="42"/>
        <v>0</v>
      </c>
      <c r="T89" s="84">
        <f t="shared" si="41"/>
        <v>0</v>
      </c>
      <c r="U89" s="84">
        <f t="shared" si="41"/>
        <v>0</v>
      </c>
      <c r="V89" s="84">
        <f t="shared" si="41"/>
        <v>0</v>
      </c>
      <c r="W89" s="84">
        <f>SIS064_F_Transportoprie1Elektrosenergi5</f>
        <v>0</v>
      </c>
      <c r="X89" s="84">
        <f>SUM(SIS062_F_Transportoprie1Geriamojovande1,SIS063_F_Transportoprie1Geriamojovande1,SIS065_F_Transportoprie1Geriamojovande1)</f>
        <v>0</v>
      </c>
      <c r="Y89" s="84">
        <f>SUM(SIS062_F_Transportoprie1Paslaugaproduk8,SIS063_F_Transportoprie1Paslaugaproduk8,SIS065_F_Transportoprie1Paslaugaproduk8)</f>
        <v>0</v>
      </c>
      <c r="Z89" s="84">
        <f>SIS064_F_Transportoprie1Elektrosenergi6</f>
        <v>0</v>
      </c>
      <c r="AA89" s="84">
        <f>SUM(SIS062_F_Transportoprie1Konkurencinesi1,SIS063_F_Transportoprie1Konkurencinesi1,SIS065_F_Transportoprie1Konkurencinesi1,)</f>
        <v>0</v>
      </c>
      <c r="AB89" s="84">
        <f>SUM(SIS062_F_Transportoprie1Paslaugaproduk9,SIS063_F_Transportoprie1Paslaugaproduk9,SIS065_F_Transportoprie1Paslaugaproduk9)</f>
        <v>0</v>
      </c>
      <c r="AC89" s="85">
        <v>119.33</v>
      </c>
      <c r="AD89" s="86">
        <v>0</v>
      </c>
      <c r="AE89" s="86">
        <v>0</v>
      </c>
      <c r="AF89" s="86">
        <v>0</v>
      </c>
      <c r="AG89" s="87">
        <v>0</v>
      </c>
      <c r="AH89" s="87">
        <v>29.83</v>
      </c>
      <c r="AI89" s="87">
        <v>0</v>
      </c>
      <c r="AJ89" s="87">
        <v>0</v>
      </c>
      <c r="AK89" s="87">
        <v>0</v>
      </c>
      <c r="AL89" s="87">
        <v>0</v>
      </c>
      <c r="AM89" s="87">
        <v>0</v>
      </c>
      <c r="AN89" s="87">
        <v>0</v>
      </c>
      <c r="AO89" s="87">
        <v>0</v>
      </c>
      <c r="AP89" s="87">
        <v>0</v>
      </c>
      <c r="AQ89" s="87">
        <v>0</v>
      </c>
      <c r="AR89" s="87"/>
      <c r="AS89" s="87"/>
      <c r="AT89" s="87"/>
      <c r="AU89" s="88"/>
      <c r="AV89" s="85"/>
      <c r="AW89" s="86"/>
      <c r="AX89" s="86"/>
      <c r="AY89" s="86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8"/>
      <c r="BO89" s="85"/>
      <c r="BP89" s="86"/>
      <c r="BQ89" s="86"/>
      <c r="BR89" s="86"/>
      <c r="BS89" s="87"/>
      <c r="BT89" s="87"/>
      <c r="BU89" s="87"/>
      <c r="BV89" s="87"/>
      <c r="BW89" s="87"/>
      <c r="BX89" s="87"/>
      <c r="BY89" s="87"/>
      <c r="BZ89" s="87"/>
      <c r="CA89" s="87"/>
      <c r="CB89" s="87"/>
      <c r="CC89" s="87"/>
      <c r="CD89" s="87"/>
      <c r="CE89" s="87"/>
      <c r="CF89" s="87"/>
      <c r="CG89" s="88"/>
      <c r="CH89" s="85"/>
      <c r="CI89" s="86"/>
      <c r="CJ89" s="86"/>
      <c r="CK89" s="86"/>
      <c r="CL89" s="87"/>
      <c r="CM89" s="87"/>
      <c r="CN89" s="87"/>
      <c r="CO89" s="87"/>
      <c r="CP89" s="87"/>
      <c r="CQ89" s="87"/>
      <c r="CR89" s="87"/>
      <c r="CS89" s="87"/>
      <c r="CT89" s="87"/>
      <c r="CU89" s="87"/>
      <c r="CV89" s="87"/>
      <c r="CW89" s="87"/>
      <c r="CX89" s="87"/>
      <c r="CY89" s="87"/>
      <c r="CZ89" s="88"/>
      <c r="DA89" s="85"/>
      <c r="DB89" s="86"/>
      <c r="DC89" s="86"/>
      <c r="DD89" s="86"/>
      <c r="DE89" s="87"/>
      <c r="DF89" s="87"/>
      <c r="DG89" s="87"/>
      <c r="DH89" s="87"/>
      <c r="DI89" s="87"/>
      <c r="DJ89" s="87"/>
      <c r="DK89" s="87"/>
      <c r="DL89" s="87"/>
      <c r="DM89" s="87"/>
      <c r="DN89" s="87"/>
      <c r="DO89" s="87"/>
      <c r="DP89" s="87"/>
      <c r="DQ89" s="87"/>
      <c r="DR89" s="87"/>
      <c r="DS89" s="88"/>
      <c r="DT89" s="85"/>
      <c r="DU89" s="86"/>
      <c r="DV89" s="86"/>
      <c r="DW89" s="86"/>
      <c r="DX89" s="87"/>
      <c r="DY89" s="87"/>
      <c r="DZ89" s="87"/>
      <c r="EA89" s="87"/>
      <c r="EB89" s="87"/>
      <c r="EC89" s="87"/>
      <c r="ED89" s="87"/>
      <c r="EE89" s="87"/>
      <c r="EF89" s="87"/>
      <c r="EG89" s="87"/>
      <c r="EH89" s="87"/>
      <c r="EI89" s="87"/>
      <c r="EJ89" s="87"/>
      <c r="EK89" s="87"/>
      <c r="EL89" s="88"/>
      <c r="EM89" s="85"/>
      <c r="EN89" s="86"/>
      <c r="EO89" s="86"/>
      <c r="EP89" s="86"/>
      <c r="EQ89" s="87"/>
      <c r="ER89" s="87"/>
      <c r="ES89" s="87"/>
      <c r="ET89" s="87"/>
      <c r="EU89" s="87"/>
      <c r="EV89" s="87"/>
      <c r="EW89" s="87"/>
      <c r="EX89" s="87"/>
      <c r="EY89" s="87"/>
      <c r="EZ89" s="87"/>
      <c r="FA89" s="87"/>
      <c r="FB89" s="87"/>
      <c r="FC89" s="87"/>
      <c r="FD89" s="87"/>
      <c r="FE89" s="89"/>
    </row>
    <row r="90" spans="2:161" s="6" customFormat="1" ht="13.2" hidden="1">
      <c r="B90" s="108" t="s">
        <v>163</v>
      </c>
      <c r="C90" s="103" t="s">
        <v>164</v>
      </c>
      <c r="D90" s="81">
        <f t="shared" si="38"/>
        <v>0</v>
      </c>
      <c r="E90" s="82">
        <f t="shared" si="42"/>
        <v>0</v>
      </c>
      <c r="F90" s="83">
        <f t="shared" si="42"/>
        <v>0</v>
      </c>
      <c r="G90" s="83">
        <f t="shared" si="42"/>
        <v>0</v>
      </c>
      <c r="H90" s="83">
        <f t="shared" si="42"/>
        <v>0</v>
      </c>
      <c r="I90" s="84">
        <f t="shared" si="42"/>
        <v>0</v>
      </c>
      <c r="J90" s="84">
        <f t="shared" si="42"/>
        <v>0</v>
      </c>
      <c r="K90" s="84">
        <f t="shared" si="42"/>
        <v>0</v>
      </c>
      <c r="L90" s="84">
        <f t="shared" si="42"/>
        <v>0</v>
      </c>
      <c r="M90" s="84">
        <f t="shared" si="42"/>
        <v>0</v>
      </c>
      <c r="N90" s="84">
        <f t="shared" si="42"/>
        <v>0</v>
      </c>
      <c r="O90" s="84">
        <f t="shared" si="42"/>
        <v>0</v>
      </c>
      <c r="P90" s="84">
        <f t="shared" si="42"/>
        <v>0</v>
      </c>
      <c r="Q90" s="84">
        <f t="shared" si="42"/>
        <v>0</v>
      </c>
      <c r="R90" s="84">
        <f t="shared" si="42"/>
        <v>0</v>
      </c>
      <c r="S90" s="84">
        <f t="shared" si="42"/>
        <v>0</v>
      </c>
      <c r="T90" s="84">
        <f t="shared" si="41"/>
        <v>0</v>
      </c>
      <c r="U90" s="84">
        <f t="shared" si="41"/>
        <v>0</v>
      </c>
      <c r="V90" s="84">
        <f t="shared" si="41"/>
        <v>0</v>
      </c>
      <c r="W90" s="84">
        <f>SIS064_F_Kitomaterialau1Elektrosenergi5</f>
        <v>0</v>
      </c>
      <c r="X90" s="84">
        <f>SUM(SIS062_F_Kitomaterialau1Geriamojovande1,SIS063_F_Kitomaterialau1Geriamojovande1,SIS065_F_Kitomaterialau1Geriamojovande1)</f>
        <v>0</v>
      </c>
      <c r="Y90" s="84">
        <f>SUM(SIS062_F_Kitomaterialau1Paslaugaproduk8,SIS063_F_Kitomaterialau1Paslaugaproduk8,SIS065_F_Kitomaterialau1Paslaugaproduk8)</f>
        <v>0</v>
      </c>
      <c r="Z90" s="84">
        <f>SIS064_F_Kitomaterialau1Elektrosenergi6</f>
        <v>0</v>
      </c>
      <c r="AA90" s="84">
        <f>SUM(SIS062_F_Kitomaterialau1Konkurencinesi1,SIS063_F_Kitomaterialau1Konkurencinesi1,SIS065_F_Kitomaterialau1Konkurencinesi1,)</f>
        <v>0</v>
      </c>
      <c r="AB90" s="84">
        <f>SUM(SIS062_F_Kitomaterialau1Paslaugaproduk9,SIS063_F_Kitomaterialau1Paslaugaproduk9,SIS065_F_Kitomaterialau1Paslaugaproduk9)</f>
        <v>0</v>
      </c>
      <c r="AC90" s="85">
        <v>0</v>
      </c>
      <c r="AD90" s="86">
        <v>0</v>
      </c>
      <c r="AE90" s="86">
        <v>0</v>
      </c>
      <c r="AF90" s="86">
        <v>0</v>
      </c>
      <c r="AG90" s="87">
        <v>0</v>
      </c>
      <c r="AH90" s="87">
        <v>0</v>
      </c>
      <c r="AI90" s="87">
        <v>0</v>
      </c>
      <c r="AJ90" s="87">
        <v>0</v>
      </c>
      <c r="AK90" s="87">
        <v>0</v>
      </c>
      <c r="AL90" s="87">
        <v>0</v>
      </c>
      <c r="AM90" s="87">
        <v>0</v>
      </c>
      <c r="AN90" s="87">
        <v>0</v>
      </c>
      <c r="AO90" s="87">
        <v>0</v>
      </c>
      <c r="AP90" s="87">
        <v>0</v>
      </c>
      <c r="AQ90" s="87">
        <v>0</v>
      </c>
      <c r="AR90" s="87"/>
      <c r="AS90" s="87"/>
      <c r="AT90" s="87"/>
      <c r="AU90" s="88"/>
      <c r="AV90" s="85"/>
      <c r="AW90" s="86"/>
      <c r="AX90" s="86"/>
      <c r="AY90" s="86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8"/>
      <c r="BO90" s="85"/>
      <c r="BP90" s="86"/>
      <c r="BQ90" s="86"/>
      <c r="BR90" s="86"/>
      <c r="BS90" s="87"/>
      <c r="BT90" s="87"/>
      <c r="BU90" s="87"/>
      <c r="BV90" s="87"/>
      <c r="BW90" s="87"/>
      <c r="BX90" s="87"/>
      <c r="BY90" s="87"/>
      <c r="BZ90" s="87"/>
      <c r="CA90" s="87"/>
      <c r="CB90" s="87"/>
      <c r="CC90" s="87"/>
      <c r="CD90" s="87"/>
      <c r="CE90" s="87"/>
      <c r="CF90" s="87"/>
      <c r="CG90" s="88"/>
      <c r="CH90" s="85"/>
      <c r="CI90" s="86"/>
      <c r="CJ90" s="86"/>
      <c r="CK90" s="86"/>
      <c r="CL90" s="87"/>
      <c r="CM90" s="87"/>
      <c r="CN90" s="87"/>
      <c r="CO90" s="87"/>
      <c r="CP90" s="87"/>
      <c r="CQ90" s="87"/>
      <c r="CR90" s="87"/>
      <c r="CS90" s="87"/>
      <c r="CT90" s="87"/>
      <c r="CU90" s="87"/>
      <c r="CV90" s="87"/>
      <c r="CW90" s="87"/>
      <c r="CX90" s="87"/>
      <c r="CY90" s="87"/>
      <c r="CZ90" s="88"/>
      <c r="DA90" s="85"/>
      <c r="DB90" s="86"/>
      <c r="DC90" s="86"/>
      <c r="DD90" s="86"/>
      <c r="DE90" s="87"/>
      <c r="DF90" s="87"/>
      <c r="DG90" s="87"/>
      <c r="DH90" s="87"/>
      <c r="DI90" s="87"/>
      <c r="DJ90" s="87"/>
      <c r="DK90" s="87"/>
      <c r="DL90" s="87"/>
      <c r="DM90" s="87"/>
      <c r="DN90" s="87"/>
      <c r="DO90" s="87"/>
      <c r="DP90" s="87"/>
      <c r="DQ90" s="87"/>
      <c r="DR90" s="87"/>
      <c r="DS90" s="88"/>
      <c r="DT90" s="85"/>
      <c r="DU90" s="86"/>
      <c r="DV90" s="86"/>
      <c r="DW90" s="86"/>
      <c r="DX90" s="87"/>
      <c r="DY90" s="87"/>
      <c r="DZ90" s="87"/>
      <c r="EA90" s="87"/>
      <c r="EB90" s="87"/>
      <c r="EC90" s="87"/>
      <c r="ED90" s="87"/>
      <c r="EE90" s="87"/>
      <c r="EF90" s="87"/>
      <c r="EG90" s="87"/>
      <c r="EH90" s="87"/>
      <c r="EI90" s="87"/>
      <c r="EJ90" s="87"/>
      <c r="EK90" s="87"/>
      <c r="EL90" s="88"/>
      <c r="EM90" s="85"/>
      <c r="EN90" s="86"/>
      <c r="EO90" s="86"/>
      <c r="EP90" s="86"/>
      <c r="EQ90" s="87"/>
      <c r="ER90" s="87"/>
      <c r="ES90" s="87"/>
      <c r="ET90" s="87"/>
      <c r="EU90" s="87"/>
      <c r="EV90" s="87"/>
      <c r="EW90" s="87"/>
      <c r="EX90" s="87"/>
      <c r="EY90" s="87"/>
      <c r="EZ90" s="87"/>
      <c r="FA90" s="87"/>
      <c r="FB90" s="87"/>
      <c r="FC90" s="87"/>
      <c r="FD90" s="87"/>
      <c r="FE90" s="89"/>
    </row>
    <row r="91" spans="2:161" s="6" customFormat="1" ht="13.2" hidden="1">
      <c r="B91" s="108" t="s">
        <v>165</v>
      </c>
      <c r="C91" s="103" t="s">
        <v>166</v>
      </c>
      <c r="D91" s="81">
        <f t="shared" si="38"/>
        <v>0</v>
      </c>
      <c r="E91" s="82">
        <f t="shared" si="42"/>
        <v>0</v>
      </c>
      <c r="F91" s="83">
        <f t="shared" si="42"/>
        <v>0</v>
      </c>
      <c r="G91" s="83">
        <f t="shared" si="42"/>
        <v>0</v>
      </c>
      <c r="H91" s="83">
        <f t="shared" si="42"/>
        <v>0</v>
      </c>
      <c r="I91" s="84">
        <f t="shared" si="42"/>
        <v>0</v>
      </c>
      <c r="J91" s="84">
        <f t="shared" si="42"/>
        <v>0</v>
      </c>
      <c r="K91" s="84">
        <f t="shared" si="42"/>
        <v>0</v>
      </c>
      <c r="L91" s="84">
        <f t="shared" si="42"/>
        <v>0</v>
      </c>
      <c r="M91" s="84">
        <f t="shared" si="42"/>
        <v>0</v>
      </c>
      <c r="N91" s="84">
        <f t="shared" si="42"/>
        <v>0</v>
      </c>
      <c r="O91" s="84">
        <f t="shared" si="42"/>
        <v>0</v>
      </c>
      <c r="P91" s="84">
        <f t="shared" si="42"/>
        <v>0</v>
      </c>
      <c r="Q91" s="84">
        <f t="shared" si="42"/>
        <v>0</v>
      </c>
      <c r="R91" s="84">
        <f t="shared" si="42"/>
        <v>0</v>
      </c>
      <c r="S91" s="84">
        <f t="shared" si="42"/>
        <v>0</v>
      </c>
      <c r="T91" s="84">
        <f t="shared" si="41"/>
        <v>0</v>
      </c>
      <c r="U91" s="84">
        <f t="shared" si="41"/>
        <v>0</v>
      </c>
      <c r="V91" s="84">
        <f t="shared" si="41"/>
        <v>0</v>
      </c>
      <c r="W91" s="84">
        <f>SIS064_F_Investiciniotu1Elektrosenergi5</f>
        <v>0</v>
      </c>
      <c r="X91" s="84">
        <f>SUM(SIS062_F_Investiciniotu1Geriamojovande1,SIS063_F_Investiciniotu1Geriamojovande1,SIS065_F_Investiciniotu1Geriamojovande1)</f>
        <v>0</v>
      </c>
      <c r="Y91" s="84">
        <f>SUM(SIS062_F_Investiciniotu1Paslaugaproduk8,SIS063_F_Investiciniotu1Paslaugaproduk8,SIS065_F_Investiciniotu1Paslaugaproduk8)</f>
        <v>0</v>
      </c>
      <c r="Z91" s="84">
        <f>SIS064_F_Investiciniotu1Elektrosenergi6</f>
        <v>0</v>
      </c>
      <c r="AA91" s="84">
        <f>SUM(SIS062_F_Investiciniotu1Konkurencinesi1,SIS063_F_Investiciniotu1Konkurencinesi1,SIS065_F_Investiciniotu1Konkurencinesi1,)</f>
        <v>0</v>
      </c>
      <c r="AB91" s="84">
        <f>SUM(SIS062_F_Investiciniotu1Paslaugaproduk9,SIS063_F_Investiciniotu1Paslaugaproduk9,SIS065_F_Investiciniotu1Paslaugaproduk9)</f>
        <v>0</v>
      </c>
      <c r="AC91" s="85">
        <v>0</v>
      </c>
      <c r="AD91" s="86">
        <v>0</v>
      </c>
      <c r="AE91" s="86">
        <v>0</v>
      </c>
      <c r="AF91" s="86">
        <v>0</v>
      </c>
      <c r="AG91" s="87">
        <v>0</v>
      </c>
      <c r="AH91" s="87">
        <v>0</v>
      </c>
      <c r="AI91" s="87">
        <v>0</v>
      </c>
      <c r="AJ91" s="87">
        <v>0</v>
      </c>
      <c r="AK91" s="87">
        <v>0</v>
      </c>
      <c r="AL91" s="87">
        <v>0</v>
      </c>
      <c r="AM91" s="87">
        <v>0</v>
      </c>
      <c r="AN91" s="87">
        <v>0</v>
      </c>
      <c r="AO91" s="87">
        <v>0</v>
      </c>
      <c r="AP91" s="87">
        <v>0</v>
      </c>
      <c r="AQ91" s="87">
        <v>0</v>
      </c>
      <c r="AR91" s="87"/>
      <c r="AS91" s="87"/>
      <c r="AT91" s="87"/>
      <c r="AU91" s="88"/>
      <c r="AV91" s="85"/>
      <c r="AW91" s="86"/>
      <c r="AX91" s="86"/>
      <c r="AY91" s="86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8"/>
      <c r="BO91" s="85"/>
      <c r="BP91" s="86"/>
      <c r="BQ91" s="86"/>
      <c r="BR91" s="86"/>
      <c r="BS91" s="87"/>
      <c r="BT91" s="87"/>
      <c r="BU91" s="87"/>
      <c r="BV91" s="87"/>
      <c r="BW91" s="87"/>
      <c r="BX91" s="87"/>
      <c r="BY91" s="87"/>
      <c r="BZ91" s="87"/>
      <c r="CA91" s="87"/>
      <c r="CB91" s="87"/>
      <c r="CC91" s="87"/>
      <c r="CD91" s="87"/>
      <c r="CE91" s="87"/>
      <c r="CF91" s="87"/>
      <c r="CG91" s="88"/>
      <c r="CH91" s="85"/>
      <c r="CI91" s="86"/>
      <c r="CJ91" s="86"/>
      <c r="CK91" s="86"/>
      <c r="CL91" s="87"/>
      <c r="CM91" s="87"/>
      <c r="CN91" s="87"/>
      <c r="CO91" s="87"/>
      <c r="CP91" s="87"/>
      <c r="CQ91" s="87"/>
      <c r="CR91" s="87"/>
      <c r="CS91" s="87"/>
      <c r="CT91" s="87"/>
      <c r="CU91" s="87"/>
      <c r="CV91" s="87"/>
      <c r="CW91" s="87"/>
      <c r="CX91" s="87"/>
      <c r="CY91" s="87"/>
      <c r="CZ91" s="88"/>
      <c r="DA91" s="85"/>
      <c r="DB91" s="86"/>
      <c r="DC91" s="86"/>
      <c r="DD91" s="86"/>
      <c r="DE91" s="87"/>
      <c r="DF91" s="87"/>
      <c r="DG91" s="87"/>
      <c r="DH91" s="87"/>
      <c r="DI91" s="87"/>
      <c r="DJ91" s="87"/>
      <c r="DK91" s="87"/>
      <c r="DL91" s="87"/>
      <c r="DM91" s="87"/>
      <c r="DN91" s="87"/>
      <c r="DO91" s="87"/>
      <c r="DP91" s="87"/>
      <c r="DQ91" s="87"/>
      <c r="DR91" s="87"/>
      <c r="DS91" s="88"/>
      <c r="DT91" s="85"/>
      <c r="DU91" s="86"/>
      <c r="DV91" s="86"/>
      <c r="DW91" s="86"/>
      <c r="DX91" s="87"/>
      <c r="DY91" s="87"/>
      <c r="DZ91" s="87"/>
      <c r="EA91" s="87"/>
      <c r="EB91" s="87"/>
      <c r="EC91" s="87"/>
      <c r="ED91" s="87"/>
      <c r="EE91" s="87"/>
      <c r="EF91" s="87"/>
      <c r="EG91" s="87"/>
      <c r="EH91" s="87"/>
      <c r="EI91" s="87"/>
      <c r="EJ91" s="87"/>
      <c r="EK91" s="87"/>
      <c r="EL91" s="88"/>
      <c r="EM91" s="85"/>
      <c r="EN91" s="86"/>
      <c r="EO91" s="86"/>
      <c r="EP91" s="86"/>
      <c r="EQ91" s="87"/>
      <c r="ER91" s="87"/>
      <c r="ES91" s="87"/>
      <c r="ET91" s="87"/>
      <c r="EU91" s="87"/>
      <c r="EV91" s="87"/>
      <c r="EW91" s="87"/>
      <c r="EX91" s="87"/>
      <c r="EY91" s="87"/>
      <c r="EZ91" s="87"/>
      <c r="FA91" s="87"/>
      <c r="FB91" s="87"/>
      <c r="FC91" s="87"/>
      <c r="FD91" s="87"/>
      <c r="FE91" s="89"/>
    </row>
    <row r="92" spans="2:161" s="6" customFormat="1" ht="13.2" hidden="1">
      <c r="B92" s="108" t="s">
        <v>167</v>
      </c>
      <c r="C92" s="103" t="s">
        <v>168</v>
      </c>
      <c r="D92" s="81">
        <f t="shared" si="38"/>
        <v>0</v>
      </c>
      <c r="E92" s="82">
        <f t="shared" si="42"/>
        <v>0</v>
      </c>
      <c r="F92" s="83">
        <f t="shared" si="42"/>
        <v>0</v>
      </c>
      <c r="G92" s="83">
        <f t="shared" si="42"/>
        <v>0</v>
      </c>
      <c r="H92" s="83">
        <f t="shared" si="42"/>
        <v>0</v>
      </c>
      <c r="I92" s="84">
        <f t="shared" si="42"/>
        <v>0</v>
      </c>
      <c r="J92" s="84">
        <f t="shared" si="42"/>
        <v>0</v>
      </c>
      <c r="K92" s="84">
        <f t="shared" si="42"/>
        <v>0</v>
      </c>
      <c r="L92" s="84">
        <f t="shared" si="42"/>
        <v>0</v>
      </c>
      <c r="M92" s="84">
        <f t="shared" si="42"/>
        <v>0</v>
      </c>
      <c r="N92" s="84">
        <f t="shared" si="42"/>
        <v>0</v>
      </c>
      <c r="O92" s="84">
        <f t="shared" si="42"/>
        <v>0</v>
      </c>
      <c r="P92" s="84">
        <f t="shared" si="42"/>
        <v>0</v>
      </c>
      <c r="Q92" s="84">
        <f t="shared" si="42"/>
        <v>0</v>
      </c>
      <c r="R92" s="84">
        <f t="shared" si="42"/>
        <v>0</v>
      </c>
      <c r="S92" s="84">
        <f t="shared" si="42"/>
        <v>0</v>
      </c>
      <c r="T92" s="84">
        <f t="shared" si="41"/>
        <v>0</v>
      </c>
      <c r="U92" s="84">
        <f t="shared" si="41"/>
        <v>0</v>
      </c>
      <c r="V92" s="84">
        <f t="shared" si="41"/>
        <v>0</v>
      </c>
      <c r="W92" s="84">
        <f>SIS064_F_Kitoilgalaikio1Elektrosenergi5</f>
        <v>0</v>
      </c>
      <c r="X92" s="84">
        <f>SUM(SIS062_F_Kitoilgalaikio1Geriamojovande1,SIS063_F_Kitoilgalaikio1Geriamojovande1,SIS065_F_Kitoilgalaikio1Geriamojovande1)</f>
        <v>0</v>
      </c>
      <c r="Y92" s="84">
        <f>SUM(SIS062_F_Kitoilgalaikio1Paslaugaproduk8,SIS063_F_Kitoilgalaikio1Paslaugaproduk8,SIS065_F_Kitoilgalaikio1Paslaugaproduk8)</f>
        <v>0</v>
      </c>
      <c r="Z92" s="84">
        <f>SIS064_F_Kitoilgalaikio1Elektrosenergi6</f>
        <v>0</v>
      </c>
      <c r="AA92" s="84">
        <f>SUM(SIS062_F_Kitoilgalaikio1Konkurencinesi1,SIS063_F_Kitoilgalaikio1Konkurencinesi1,SIS065_F_Kitoilgalaikio1Konkurencinesi1,)</f>
        <v>0</v>
      </c>
      <c r="AB92" s="84">
        <f>SUM(SIS062_F_Kitoilgalaikio1Paslaugaproduk9,SIS063_F_Kitoilgalaikio1Paslaugaproduk9,SIS065_F_Kitoilgalaikio1Paslaugaproduk9)</f>
        <v>0</v>
      </c>
      <c r="AC92" s="85">
        <v>0</v>
      </c>
      <c r="AD92" s="86">
        <v>0</v>
      </c>
      <c r="AE92" s="86">
        <v>0</v>
      </c>
      <c r="AF92" s="86">
        <v>0</v>
      </c>
      <c r="AG92" s="87">
        <v>0</v>
      </c>
      <c r="AH92" s="87">
        <v>0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0</v>
      </c>
      <c r="AR92" s="87"/>
      <c r="AS92" s="87"/>
      <c r="AT92" s="87"/>
      <c r="AU92" s="88"/>
      <c r="AV92" s="85"/>
      <c r="AW92" s="86"/>
      <c r="AX92" s="86"/>
      <c r="AY92" s="86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8"/>
      <c r="BO92" s="85"/>
      <c r="BP92" s="86"/>
      <c r="BQ92" s="86"/>
      <c r="BR92" s="86"/>
      <c r="BS92" s="87"/>
      <c r="BT92" s="87"/>
      <c r="BU92" s="87"/>
      <c r="BV92" s="87"/>
      <c r="BW92" s="87"/>
      <c r="BX92" s="87"/>
      <c r="BY92" s="87"/>
      <c r="BZ92" s="87"/>
      <c r="CA92" s="87"/>
      <c r="CB92" s="87"/>
      <c r="CC92" s="87"/>
      <c r="CD92" s="87"/>
      <c r="CE92" s="87"/>
      <c r="CF92" s="87"/>
      <c r="CG92" s="88"/>
      <c r="CH92" s="85"/>
      <c r="CI92" s="86"/>
      <c r="CJ92" s="86"/>
      <c r="CK92" s="86"/>
      <c r="CL92" s="87"/>
      <c r="CM92" s="87"/>
      <c r="CN92" s="87"/>
      <c r="CO92" s="87"/>
      <c r="CP92" s="87"/>
      <c r="CQ92" s="87"/>
      <c r="CR92" s="87"/>
      <c r="CS92" s="87"/>
      <c r="CT92" s="87"/>
      <c r="CU92" s="87"/>
      <c r="CV92" s="87"/>
      <c r="CW92" s="87"/>
      <c r="CX92" s="87"/>
      <c r="CY92" s="87"/>
      <c r="CZ92" s="88"/>
      <c r="DA92" s="85"/>
      <c r="DB92" s="86"/>
      <c r="DC92" s="86"/>
      <c r="DD92" s="86"/>
      <c r="DE92" s="87"/>
      <c r="DF92" s="87"/>
      <c r="DG92" s="87"/>
      <c r="DH92" s="87"/>
      <c r="DI92" s="87"/>
      <c r="DJ92" s="87"/>
      <c r="DK92" s="87"/>
      <c r="DL92" s="87"/>
      <c r="DM92" s="87"/>
      <c r="DN92" s="87"/>
      <c r="DO92" s="87"/>
      <c r="DP92" s="87"/>
      <c r="DQ92" s="87"/>
      <c r="DR92" s="87"/>
      <c r="DS92" s="88"/>
      <c r="DT92" s="85"/>
      <c r="DU92" s="86"/>
      <c r="DV92" s="86"/>
      <c r="DW92" s="86"/>
      <c r="DX92" s="87"/>
      <c r="DY92" s="87"/>
      <c r="DZ92" s="87"/>
      <c r="EA92" s="87"/>
      <c r="EB92" s="87"/>
      <c r="EC92" s="87"/>
      <c r="ED92" s="87"/>
      <c r="EE92" s="87"/>
      <c r="EF92" s="87"/>
      <c r="EG92" s="87"/>
      <c r="EH92" s="87"/>
      <c r="EI92" s="87"/>
      <c r="EJ92" s="87"/>
      <c r="EK92" s="87"/>
      <c r="EL92" s="88"/>
      <c r="EM92" s="85"/>
      <c r="EN92" s="86"/>
      <c r="EO92" s="86"/>
      <c r="EP92" s="86"/>
      <c r="EQ92" s="87"/>
      <c r="ER92" s="87"/>
      <c r="ES92" s="87"/>
      <c r="ET92" s="87"/>
      <c r="EU92" s="87"/>
      <c r="EV92" s="87"/>
      <c r="EW92" s="87"/>
      <c r="EX92" s="87"/>
      <c r="EY92" s="87"/>
      <c r="EZ92" s="87"/>
      <c r="FA92" s="87"/>
      <c r="FB92" s="87"/>
      <c r="FC92" s="87"/>
      <c r="FD92" s="87"/>
      <c r="FE92" s="89"/>
    </row>
    <row r="93" spans="2:161" s="6" customFormat="1" ht="13.2">
      <c r="B93" s="93" t="s">
        <v>169</v>
      </c>
      <c r="C93" s="111" t="s">
        <v>170</v>
      </c>
      <c r="D93" s="106">
        <f t="shared" ref="D93:BO93" si="43">SUM(D94:D119)</f>
        <v>163499.76999999999</v>
      </c>
      <c r="E93" s="95">
        <f t="shared" si="43"/>
        <v>110249.50621558473</v>
      </c>
      <c r="F93" s="96">
        <f t="shared" si="43"/>
        <v>0</v>
      </c>
      <c r="G93" s="96">
        <f t="shared" si="43"/>
        <v>0</v>
      </c>
      <c r="H93" s="96">
        <f t="shared" si="43"/>
        <v>0</v>
      </c>
      <c r="I93" s="97">
        <f t="shared" si="43"/>
        <v>0</v>
      </c>
      <c r="J93" s="97">
        <f t="shared" si="43"/>
        <v>27976.213579315892</v>
      </c>
      <c r="K93" s="97">
        <f t="shared" si="43"/>
        <v>0</v>
      </c>
      <c r="L93" s="97">
        <f t="shared" si="43"/>
        <v>0</v>
      </c>
      <c r="M93" s="97">
        <f t="shared" si="43"/>
        <v>340.69299934319713</v>
      </c>
      <c r="N93" s="97">
        <f t="shared" si="43"/>
        <v>9497.4818937671971</v>
      </c>
      <c r="O93" s="97">
        <f t="shared" si="43"/>
        <v>0</v>
      </c>
      <c r="P93" s="97">
        <f t="shared" si="43"/>
        <v>537.06087834520088</v>
      </c>
      <c r="Q93" s="97">
        <f t="shared" si="43"/>
        <v>0</v>
      </c>
      <c r="R93" s="97">
        <f t="shared" si="43"/>
        <v>0</v>
      </c>
      <c r="S93" s="97">
        <f t="shared" si="43"/>
        <v>14689.871947439453</v>
      </c>
      <c r="T93" s="97">
        <f t="shared" si="43"/>
        <v>0</v>
      </c>
      <c r="U93" s="97">
        <f t="shared" si="43"/>
        <v>0</v>
      </c>
      <c r="V93" s="97">
        <f t="shared" si="43"/>
        <v>0</v>
      </c>
      <c r="W93" s="97">
        <f t="shared" si="43"/>
        <v>0</v>
      </c>
      <c r="X93" s="97">
        <f t="shared" si="43"/>
        <v>0</v>
      </c>
      <c r="Y93" s="97">
        <f t="shared" si="43"/>
        <v>0</v>
      </c>
      <c r="Z93" s="97">
        <f t="shared" si="43"/>
        <v>0</v>
      </c>
      <c r="AA93" s="97">
        <f t="shared" si="43"/>
        <v>0</v>
      </c>
      <c r="AB93" s="97">
        <f t="shared" si="43"/>
        <v>208.94248620436596</v>
      </c>
      <c r="AC93" s="98">
        <f t="shared" si="43"/>
        <v>110249.50621558473</v>
      </c>
      <c r="AD93" s="99">
        <f t="shared" si="43"/>
        <v>0</v>
      </c>
      <c r="AE93" s="99">
        <f t="shared" si="43"/>
        <v>0</v>
      </c>
      <c r="AF93" s="99">
        <f t="shared" si="43"/>
        <v>0</v>
      </c>
      <c r="AG93" s="100">
        <f t="shared" si="43"/>
        <v>0</v>
      </c>
      <c r="AH93" s="100">
        <f t="shared" si="43"/>
        <v>27976.213579315892</v>
      </c>
      <c r="AI93" s="100">
        <f t="shared" si="43"/>
        <v>0</v>
      </c>
      <c r="AJ93" s="100">
        <f t="shared" si="43"/>
        <v>0</v>
      </c>
      <c r="AK93" s="100">
        <f t="shared" si="43"/>
        <v>340.69299934319713</v>
      </c>
      <c r="AL93" s="100">
        <f t="shared" si="43"/>
        <v>9497.4818937671971</v>
      </c>
      <c r="AM93" s="100">
        <f t="shared" si="43"/>
        <v>0</v>
      </c>
      <c r="AN93" s="100">
        <f t="shared" si="43"/>
        <v>537.06087834520088</v>
      </c>
      <c r="AO93" s="100">
        <f t="shared" si="43"/>
        <v>0</v>
      </c>
      <c r="AP93" s="100">
        <f t="shared" si="43"/>
        <v>0</v>
      </c>
      <c r="AQ93" s="100">
        <f t="shared" si="43"/>
        <v>14689.871947439453</v>
      </c>
      <c r="AR93" s="100">
        <f t="shared" si="43"/>
        <v>0</v>
      </c>
      <c r="AS93" s="100">
        <f t="shared" si="43"/>
        <v>0</v>
      </c>
      <c r="AT93" s="100">
        <f t="shared" si="43"/>
        <v>0</v>
      </c>
      <c r="AU93" s="97">
        <f t="shared" si="43"/>
        <v>0</v>
      </c>
      <c r="AV93" s="98">
        <f t="shared" si="43"/>
        <v>0</v>
      </c>
      <c r="AW93" s="99">
        <f t="shared" si="43"/>
        <v>0</v>
      </c>
      <c r="AX93" s="99">
        <f t="shared" si="43"/>
        <v>0</v>
      </c>
      <c r="AY93" s="99">
        <f t="shared" si="43"/>
        <v>0</v>
      </c>
      <c r="AZ93" s="100">
        <f t="shared" si="43"/>
        <v>0</v>
      </c>
      <c r="BA93" s="100">
        <f t="shared" si="43"/>
        <v>0</v>
      </c>
      <c r="BB93" s="100">
        <f t="shared" si="43"/>
        <v>0</v>
      </c>
      <c r="BC93" s="100">
        <f t="shared" si="43"/>
        <v>0</v>
      </c>
      <c r="BD93" s="100">
        <f t="shared" si="43"/>
        <v>0</v>
      </c>
      <c r="BE93" s="100">
        <f t="shared" si="43"/>
        <v>0</v>
      </c>
      <c r="BF93" s="100">
        <f t="shared" si="43"/>
        <v>0</v>
      </c>
      <c r="BG93" s="100">
        <f t="shared" si="43"/>
        <v>0</v>
      </c>
      <c r="BH93" s="100">
        <f t="shared" si="43"/>
        <v>0</v>
      </c>
      <c r="BI93" s="100">
        <f t="shared" si="43"/>
        <v>0</v>
      </c>
      <c r="BJ93" s="100">
        <f t="shared" si="43"/>
        <v>0</v>
      </c>
      <c r="BK93" s="100">
        <f t="shared" si="43"/>
        <v>0</v>
      </c>
      <c r="BL93" s="100">
        <f t="shared" si="43"/>
        <v>0</v>
      </c>
      <c r="BM93" s="100">
        <f t="shared" si="43"/>
        <v>0</v>
      </c>
      <c r="BN93" s="97">
        <f t="shared" si="43"/>
        <v>0</v>
      </c>
      <c r="BO93" s="98">
        <f t="shared" si="43"/>
        <v>0</v>
      </c>
      <c r="BP93" s="99">
        <f t="shared" ref="BP93:EA93" si="44">SUM(BP94:BP119)</f>
        <v>0</v>
      </c>
      <c r="BQ93" s="99">
        <f t="shared" si="44"/>
        <v>0</v>
      </c>
      <c r="BR93" s="99">
        <f t="shared" si="44"/>
        <v>0</v>
      </c>
      <c r="BS93" s="100">
        <f t="shared" si="44"/>
        <v>0</v>
      </c>
      <c r="BT93" s="100">
        <f t="shared" si="44"/>
        <v>0</v>
      </c>
      <c r="BU93" s="100">
        <f t="shared" si="44"/>
        <v>0</v>
      </c>
      <c r="BV93" s="100">
        <f t="shared" si="44"/>
        <v>0</v>
      </c>
      <c r="BW93" s="100">
        <f t="shared" si="44"/>
        <v>0</v>
      </c>
      <c r="BX93" s="100">
        <f t="shared" si="44"/>
        <v>0</v>
      </c>
      <c r="BY93" s="100">
        <f t="shared" si="44"/>
        <v>0</v>
      </c>
      <c r="BZ93" s="100">
        <f t="shared" si="44"/>
        <v>0</v>
      </c>
      <c r="CA93" s="100">
        <f t="shared" si="44"/>
        <v>0</v>
      </c>
      <c r="CB93" s="100">
        <f t="shared" si="44"/>
        <v>0</v>
      </c>
      <c r="CC93" s="100">
        <f t="shared" si="44"/>
        <v>0</v>
      </c>
      <c r="CD93" s="100">
        <f t="shared" si="44"/>
        <v>0</v>
      </c>
      <c r="CE93" s="100">
        <f t="shared" si="44"/>
        <v>0</v>
      </c>
      <c r="CF93" s="100">
        <f t="shared" si="44"/>
        <v>0</v>
      </c>
      <c r="CG93" s="97">
        <f t="shared" si="44"/>
        <v>0</v>
      </c>
      <c r="CH93" s="98">
        <f t="shared" si="44"/>
        <v>0</v>
      </c>
      <c r="CI93" s="99">
        <f t="shared" si="44"/>
        <v>0</v>
      </c>
      <c r="CJ93" s="99">
        <f t="shared" si="44"/>
        <v>0</v>
      </c>
      <c r="CK93" s="99">
        <f t="shared" si="44"/>
        <v>0</v>
      </c>
      <c r="CL93" s="100">
        <f t="shared" si="44"/>
        <v>0</v>
      </c>
      <c r="CM93" s="100">
        <f t="shared" si="44"/>
        <v>0</v>
      </c>
      <c r="CN93" s="100">
        <f t="shared" si="44"/>
        <v>0</v>
      </c>
      <c r="CO93" s="100">
        <f t="shared" si="44"/>
        <v>0</v>
      </c>
      <c r="CP93" s="100">
        <f t="shared" si="44"/>
        <v>0</v>
      </c>
      <c r="CQ93" s="100">
        <f t="shared" si="44"/>
        <v>0</v>
      </c>
      <c r="CR93" s="100">
        <f t="shared" si="44"/>
        <v>0</v>
      </c>
      <c r="CS93" s="100">
        <f t="shared" si="44"/>
        <v>0</v>
      </c>
      <c r="CT93" s="100">
        <f t="shared" si="44"/>
        <v>0</v>
      </c>
      <c r="CU93" s="100">
        <f t="shared" si="44"/>
        <v>0</v>
      </c>
      <c r="CV93" s="100">
        <f t="shared" si="44"/>
        <v>0</v>
      </c>
      <c r="CW93" s="100">
        <f t="shared" si="44"/>
        <v>0</v>
      </c>
      <c r="CX93" s="100">
        <f t="shared" si="44"/>
        <v>0</v>
      </c>
      <c r="CY93" s="100">
        <f t="shared" si="44"/>
        <v>0</v>
      </c>
      <c r="CZ93" s="97">
        <f t="shared" si="44"/>
        <v>0</v>
      </c>
      <c r="DA93" s="98">
        <f t="shared" si="44"/>
        <v>0</v>
      </c>
      <c r="DB93" s="99">
        <f t="shared" si="44"/>
        <v>0</v>
      </c>
      <c r="DC93" s="99">
        <f t="shared" si="44"/>
        <v>0</v>
      </c>
      <c r="DD93" s="99">
        <f t="shared" si="44"/>
        <v>0</v>
      </c>
      <c r="DE93" s="100">
        <f t="shared" si="44"/>
        <v>0</v>
      </c>
      <c r="DF93" s="100">
        <f t="shared" si="44"/>
        <v>0</v>
      </c>
      <c r="DG93" s="100">
        <f t="shared" si="44"/>
        <v>0</v>
      </c>
      <c r="DH93" s="100">
        <f t="shared" si="44"/>
        <v>0</v>
      </c>
      <c r="DI93" s="100">
        <f t="shared" si="44"/>
        <v>0</v>
      </c>
      <c r="DJ93" s="100">
        <f t="shared" si="44"/>
        <v>0</v>
      </c>
      <c r="DK93" s="100">
        <f t="shared" si="44"/>
        <v>0</v>
      </c>
      <c r="DL93" s="100">
        <f t="shared" si="44"/>
        <v>0</v>
      </c>
      <c r="DM93" s="100">
        <f t="shared" si="44"/>
        <v>0</v>
      </c>
      <c r="DN93" s="100">
        <f t="shared" si="44"/>
        <v>0</v>
      </c>
      <c r="DO93" s="100">
        <f t="shared" si="44"/>
        <v>0</v>
      </c>
      <c r="DP93" s="100">
        <f t="shared" si="44"/>
        <v>0</v>
      </c>
      <c r="DQ93" s="100">
        <f t="shared" si="44"/>
        <v>0</v>
      </c>
      <c r="DR93" s="100">
        <f t="shared" si="44"/>
        <v>0</v>
      </c>
      <c r="DS93" s="97">
        <f t="shared" si="44"/>
        <v>0</v>
      </c>
      <c r="DT93" s="98">
        <f t="shared" si="44"/>
        <v>0</v>
      </c>
      <c r="DU93" s="99">
        <f t="shared" si="44"/>
        <v>0</v>
      </c>
      <c r="DV93" s="99">
        <f t="shared" si="44"/>
        <v>0</v>
      </c>
      <c r="DW93" s="99">
        <f t="shared" si="44"/>
        <v>0</v>
      </c>
      <c r="DX93" s="100">
        <f t="shared" si="44"/>
        <v>0</v>
      </c>
      <c r="DY93" s="100">
        <f t="shared" si="44"/>
        <v>0</v>
      </c>
      <c r="DZ93" s="100">
        <f t="shared" si="44"/>
        <v>0</v>
      </c>
      <c r="EA93" s="100">
        <f t="shared" si="44"/>
        <v>0</v>
      </c>
      <c r="EB93" s="100">
        <f t="shared" ref="EB93:GP93" si="45">SUM(EB94:EB119)</f>
        <v>0</v>
      </c>
      <c r="EC93" s="100">
        <f t="shared" si="45"/>
        <v>0</v>
      </c>
      <c r="ED93" s="100">
        <f t="shared" si="45"/>
        <v>0</v>
      </c>
      <c r="EE93" s="100">
        <f t="shared" si="45"/>
        <v>0</v>
      </c>
      <c r="EF93" s="100">
        <f t="shared" si="45"/>
        <v>0</v>
      </c>
      <c r="EG93" s="100">
        <f t="shared" si="45"/>
        <v>0</v>
      </c>
      <c r="EH93" s="100">
        <f t="shared" si="45"/>
        <v>0</v>
      </c>
      <c r="EI93" s="100">
        <f t="shared" si="45"/>
        <v>0</v>
      </c>
      <c r="EJ93" s="100">
        <f t="shared" si="45"/>
        <v>0</v>
      </c>
      <c r="EK93" s="100">
        <f t="shared" si="45"/>
        <v>0</v>
      </c>
      <c r="EL93" s="97">
        <f t="shared" si="45"/>
        <v>0</v>
      </c>
      <c r="EM93" s="98">
        <f t="shared" si="45"/>
        <v>0</v>
      </c>
      <c r="EN93" s="99">
        <f t="shared" si="45"/>
        <v>0</v>
      </c>
      <c r="EO93" s="99">
        <f t="shared" si="45"/>
        <v>0</v>
      </c>
      <c r="EP93" s="99">
        <f t="shared" si="45"/>
        <v>0</v>
      </c>
      <c r="EQ93" s="100">
        <f t="shared" si="45"/>
        <v>0</v>
      </c>
      <c r="ER93" s="100">
        <f t="shared" si="45"/>
        <v>0</v>
      </c>
      <c r="ES93" s="100">
        <f t="shared" si="45"/>
        <v>0</v>
      </c>
      <c r="ET93" s="100">
        <f t="shared" si="45"/>
        <v>0</v>
      </c>
      <c r="EU93" s="100">
        <f t="shared" si="45"/>
        <v>0</v>
      </c>
      <c r="EV93" s="100">
        <f t="shared" si="45"/>
        <v>0</v>
      </c>
      <c r="EW93" s="100">
        <f t="shared" si="45"/>
        <v>0</v>
      </c>
      <c r="EX93" s="100">
        <f t="shared" si="45"/>
        <v>0</v>
      </c>
      <c r="EY93" s="100">
        <f t="shared" si="45"/>
        <v>0</v>
      </c>
      <c r="EZ93" s="100">
        <f t="shared" si="45"/>
        <v>0</v>
      </c>
      <c r="FA93" s="100">
        <f t="shared" si="45"/>
        <v>0</v>
      </c>
      <c r="FB93" s="100">
        <f t="shared" si="45"/>
        <v>0</v>
      </c>
      <c r="FC93" s="100">
        <f t="shared" si="45"/>
        <v>0</v>
      </c>
      <c r="FD93" s="100">
        <f t="shared" si="45"/>
        <v>0</v>
      </c>
      <c r="FE93" s="101">
        <f t="shared" si="45"/>
        <v>0</v>
      </c>
    </row>
    <row r="94" spans="2:161" s="6" customFormat="1" ht="13.2">
      <c r="B94" s="79" t="s">
        <v>171</v>
      </c>
      <c r="C94" s="103" t="s">
        <v>172</v>
      </c>
      <c r="D94" s="81">
        <f t="shared" ref="D94:D119" si="46">SUM(E94:AB94)</f>
        <v>61674.45</v>
      </c>
      <c r="E94" s="82">
        <f t="shared" ref="E94:T109" si="47">SUM(AC94,AV94,BO94,CH94,DA94,DT94,EM94)</f>
        <v>61674.45</v>
      </c>
      <c r="F94" s="83">
        <f t="shared" si="47"/>
        <v>0</v>
      </c>
      <c r="G94" s="83">
        <f t="shared" si="47"/>
        <v>0</v>
      </c>
      <c r="H94" s="83">
        <f t="shared" si="47"/>
        <v>0</v>
      </c>
      <c r="I94" s="84">
        <f t="shared" si="47"/>
        <v>0</v>
      </c>
      <c r="J94" s="84">
        <f t="shared" si="47"/>
        <v>0</v>
      </c>
      <c r="K94" s="84">
        <f t="shared" si="47"/>
        <v>0</v>
      </c>
      <c r="L94" s="84">
        <f t="shared" si="47"/>
        <v>0</v>
      </c>
      <c r="M94" s="84">
        <f t="shared" si="47"/>
        <v>0</v>
      </c>
      <c r="N94" s="84">
        <f t="shared" si="47"/>
        <v>0</v>
      </c>
      <c r="O94" s="84">
        <f t="shared" si="47"/>
        <v>0</v>
      </c>
      <c r="P94" s="84">
        <f t="shared" si="47"/>
        <v>0</v>
      </c>
      <c r="Q94" s="84">
        <f t="shared" si="47"/>
        <v>0</v>
      </c>
      <c r="R94" s="84">
        <f t="shared" si="47"/>
        <v>0</v>
      </c>
      <c r="S94" s="84">
        <f t="shared" si="47"/>
        <v>0</v>
      </c>
      <c r="T94" s="84">
        <f t="shared" si="47"/>
        <v>0</v>
      </c>
      <c r="U94" s="84">
        <f t="shared" ref="U94:V109" si="48">SUM(AS94,BL94,CE94,CX94,DQ94,EJ94,FC94)</f>
        <v>0</v>
      </c>
      <c r="V94" s="84">
        <f t="shared" si="48"/>
        <v>0</v>
      </c>
      <c r="W94" s="84">
        <f>SIS064_F_Gamybosobjektu1Elektrosenergi5</f>
        <v>0</v>
      </c>
      <c r="X94" s="84">
        <f>SUM(SIS062_F_Gamybosobjektu1Geriamojovande1,SIS063_F_Gamybosobjektu1Geriamojovande1,SIS065_F_Gamybosobjektu1Geriamojovande1)</f>
        <v>0</v>
      </c>
      <c r="Y94" s="84">
        <f>SUM(SIS062_F_Gamybosobjektu1Paslaugaproduk8,SIS063_F_Gamybosobjektu1Paslaugaproduk8,SIS065_F_Gamybosobjektu1Paslaugaproduk8)</f>
        <v>0</v>
      </c>
      <c r="Z94" s="84">
        <f>SIS064_F_Gamybosobjektu1Elektrosenergi6</f>
        <v>0</v>
      </c>
      <c r="AA94" s="84">
        <f>SUM(SIS062_F_Gamybosobjektu1Konkurencinesi1,SIS063_F_Gamybosobjektu1Konkurencinesi1,SIS065_F_Gamybosobjektu1Konkurencinesi1,)</f>
        <v>0</v>
      </c>
      <c r="AB94" s="84">
        <f>SUM(SIS062_F_Gamybosobjektu1Paslaugaproduk9,SIS063_F_Gamybosobjektu1Paslaugaproduk9,SIS065_F_Gamybosobjektu1Paslaugaproduk9)</f>
        <v>0</v>
      </c>
      <c r="AC94" s="85">
        <v>61674.45</v>
      </c>
      <c r="AD94" s="86">
        <v>0</v>
      </c>
      <c r="AE94" s="86">
        <v>0</v>
      </c>
      <c r="AF94" s="86">
        <v>0</v>
      </c>
      <c r="AG94" s="87">
        <v>0</v>
      </c>
      <c r="AH94" s="87">
        <v>0</v>
      </c>
      <c r="AI94" s="87">
        <v>0</v>
      </c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8"/>
      <c r="AV94" s="85"/>
      <c r="AW94" s="86"/>
      <c r="AX94" s="86"/>
      <c r="AY94" s="86"/>
      <c r="AZ94" s="87"/>
      <c r="BA94" s="87"/>
      <c r="BB94" s="87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87"/>
      <c r="BN94" s="88"/>
      <c r="BO94" s="85"/>
      <c r="BP94" s="86"/>
      <c r="BQ94" s="86"/>
      <c r="BR94" s="86"/>
      <c r="BS94" s="87"/>
      <c r="BT94" s="87"/>
      <c r="BU94" s="87"/>
      <c r="BV94" s="87"/>
      <c r="BW94" s="87"/>
      <c r="BX94" s="87"/>
      <c r="BY94" s="87"/>
      <c r="BZ94" s="87"/>
      <c r="CA94" s="87"/>
      <c r="CB94" s="87"/>
      <c r="CC94" s="87"/>
      <c r="CD94" s="87"/>
      <c r="CE94" s="87"/>
      <c r="CF94" s="87"/>
      <c r="CG94" s="88"/>
      <c r="CH94" s="85"/>
      <c r="CI94" s="86"/>
      <c r="CJ94" s="86"/>
      <c r="CK94" s="86"/>
      <c r="CL94" s="87"/>
      <c r="CM94" s="87"/>
      <c r="CN94" s="87"/>
      <c r="CO94" s="87"/>
      <c r="CP94" s="87"/>
      <c r="CQ94" s="87"/>
      <c r="CR94" s="87"/>
      <c r="CS94" s="87"/>
      <c r="CT94" s="87"/>
      <c r="CU94" s="87"/>
      <c r="CV94" s="87"/>
      <c r="CW94" s="87"/>
      <c r="CX94" s="87"/>
      <c r="CY94" s="87"/>
      <c r="CZ94" s="88"/>
      <c r="DA94" s="85"/>
      <c r="DB94" s="86"/>
      <c r="DC94" s="86"/>
      <c r="DD94" s="86"/>
      <c r="DE94" s="87"/>
      <c r="DF94" s="87"/>
      <c r="DG94" s="87"/>
      <c r="DH94" s="87"/>
      <c r="DI94" s="87"/>
      <c r="DJ94" s="87"/>
      <c r="DK94" s="87"/>
      <c r="DL94" s="87"/>
      <c r="DM94" s="87"/>
      <c r="DN94" s="87"/>
      <c r="DO94" s="87"/>
      <c r="DP94" s="87"/>
      <c r="DQ94" s="87"/>
      <c r="DR94" s="87"/>
      <c r="DS94" s="88"/>
      <c r="DT94" s="85"/>
      <c r="DU94" s="86"/>
      <c r="DV94" s="86"/>
      <c r="DW94" s="86"/>
      <c r="DX94" s="87"/>
      <c r="DY94" s="87"/>
      <c r="DZ94" s="87"/>
      <c r="EA94" s="87"/>
      <c r="EB94" s="87"/>
      <c r="EC94" s="87"/>
      <c r="ED94" s="87"/>
      <c r="EE94" s="87"/>
      <c r="EF94" s="87"/>
      <c r="EG94" s="87"/>
      <c r="EH94" s="87"/>
      <c r="EI94" s="87"/>
      <c r="EJ94" s="87"/>
      <c r="EK94" s="87"/>
      <c r="EL94" s="88"/>
      <c r="EM94" s="85"/>
      <c r="EN94" s="86"/>
      <c r="EO94" s="86"/>
      <c r="EP94" s="86"/>
      <c r="EQ94" s="87"/>
      <c r="ER94" s="87"/>
      <c r="ES94" s="87"/>
      <c r="ET94" s="87"/>
      <c r="EU94" s="87"/>
      <c r="EV94" s="87"/>
      <c r="EW94" s="87"/>
      <c r="EX94" s="87"/>
      <c r="EY94" s="87"/>
      <c r="EZ94" s="87"/>
      <c r="FA94" s="87"/>
      <c r="FB94" s="87"/>
      <c r="FC94" s="87"/>
      <c r="FD94" s="87"/>
      <c r="FE94" s="89"/>
    </row>
    <row r="95" spans="2:161" s="6" customFormat="1" ht="13.2">
      <c r="B95" s="79" t="s">
        <v>173</v>
      </c>
      <c r="C95" s="103" t="s">
        <v>174</v>
      </c>
      <c r="D95" s="81">
        <f t="shared" si="46"/>
        <v>6557</v>
      </c>
      <c r="E95" s="82">
        <f t="shared" si="47"/>
        <v>0</v>
      </c>
      <c r="F95" s="83">
        <f t="shared" si="47"/>
        <v>0</v>
      </c>
      <c r="G95" s="83">
        <f t="shared" si="47"/>
        <v>0</v>
      </c>
      <c r="H95" s="83">
        <f t="shared" si="47"/>
        <v>0</v>
      </c>
      <c r="I95" s="84">
        <f t="shared" si="47"/>
        <v>0</v>
      </c>
      <c r="J95" s="84">
        <f t="shared" si="47"/>
        <v>6557</v>
      </c>
      <c r="K95" s="84">
        <f t="shared" si="47"/>
        <v>0</v>
      </c>
      <c r="L95" s="84">
        <f t="shared" si="47"/>
        <v>0</v>
      </c>
      <c r="M95" s="84">
        <f t="shared" si="47"/>
        <v>0</v>
      </c>
      <c r="N95" s="84">
        <f t="shared" si="47"/>
        <v>0</v>
      </c>
      <c r="O95" s="84">
        <f t="shared" si="47"/>
        <v>0</v>
      </c>
      <c r="P95" s="84">
        <f t="shared" si="47"/>
        <v>0</v>
      </c>
      <c r="Q95" s="84">
        <f t="shared" si="47"/>
        <v>0</v>
      </c>
      <c r="R95" s="84">
        <f t="shared" si="47"/>
        <v>0</v>
      </c>
      <c r="S95" s="84">
        <f t="shared" si="47"/>
        <v>0</v>
      </c>
      <c r="T95" s="84">
        <f t="shared" si="47"/>
        <v>0</v>
      </c>
      <c r="U95" s="84">
        <f t="shared" si="48"/>
        <v>0</v>
      </c>
      <c r="V95" s="84">
        <f t="shared" si="48"/>
        <v>0</v>
      </c>
      <c r="W95" s="84">
        <f>SIS064_F_Tinklueinamojo1Elektrosenergi5</f>
        <v>0</v>
      </c>
      <c r="X95" s="84">
        <f>SUM(SIS062_F_Tinklueinamojo1Geriamojovande1,SIS063_F_Tinklueinamojo1Geriamojovande1,SIS065_F_Tinklueinamojo1Geriamojovande1)</f>
        <v>0</v>
      </c>
      <c r="Y95" s="84">
        <f>SUM(SIS062_F_Tinklueinamojo1Paslaugaproduk8,SIS063_F_Tinklueinamojo1Paslaugaproduk8,SIS065_F_Tinklueinamojo1Paslaugaproduk8)</f>
        <v>0</v>
      </c>
      <c r="Z95" s="84">
        <f>SIS064_F_Tinklueinamojo1Elektrosenergi6</f>
        <v>0</v>
      </c>
      <c r="AA95" s="84">
        <f>SUM(SIS062_F_Tinklueinamojo1Konkurencinesi1,SIS063_F_Tinklueinamojo1Konkurencinesi1,SIS065_F_Tinklueinamojo1Konkurencinesi1,)</f>
        <v>0</v>
      </c>
      <c r="AB95" s="84">
        <f>SUM(SIS062_F_Tinklueinamojo1Paslaugaproduk9,SIS063_F_Tinklueinamojo1Paslaugaproduk9,SIS065_F_Tinklueinamojo1Paslaugaproduk9)</f>
        <v>0</v>
      </c>
      <c r="AC95" s="85">
        <v>0</v>
      </c>
      <c r="AD95" s="86">
        <v>0</v>
      </c>
      <c r="AE95" s="86">
        <v>0</v>
      </c>
      <c r="AF95" s="86">
        <v>0</v>
      </c>
      <c r="AG95" s="87">
        <v>0</v>
      </c>
      <c r="AH95" s="87">
        <v>6557</v>
      </c>
      <c r="AI95" s="87">
        <v>0</v>
      </c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8"/>
      <c r="AV95" s="85"/>
      <c r="AW95" s="86"/>
      <c r="AX95" s="86"/>
      <c r="AY95" s="86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8"/>
      <c r="BO95" s="85"/>
      <c r="BP95" s="86"/>
      <c r="BQ95" s="86"/>
      <c r="BR95" s="86"/>
      <c r="BS95" s="87"/>
      <c r="BT95" s="87"/>
      <c r="BU95" s="87"/>
      <c r="BV95" s="87"/>
      <c r="BW95" s="87"/>
      <c r="BX95" s="87"/>
      <c r="BY95" s="87"/>
      <c r="BZ95" s="87"/>
      <c r="CA95" s="87"/>
      <c r="CB95" s="87"/>
      <c r="CC95" s="87"/>
      <c r="CD95" s="87"/>
      <c r="CE95" s="87"/>
      <c r="CF95" s="87"/>
      <c r="CG95" s="88"/>
      <c r="CH95" s="85"/>
      <c r="CI95" s="86"/>
      <c r="CJ95" s="86"/>
      <c r="CK95" s="86"/>
      <c r="CL95" s="87"/>
      <c r="CM95" s="87"/>
      <c r="CN95" s="87"/>
      <c r="CO95" s="87"/>
      <c r="CP95" s="87"/>
      <c r="CQ95" s="87"/>
      <c r="CR95" s="87"/>
      <c r="CS95" s="87"/>
      <c r="CT95" s="87"/>
      <c r="CU95" s="87"/>
      <c r="CV95" s="87"/>
      <c r="CW95" s="87"/>
      <c r="CX95" s="87"/>
      <c r="CY95" s="87"/>
      <c r="CZ95" s="88"/>
      <c r="DA95" s="85"/>
      <c r="DB95" s="86"/>
      <c r="DC95" s="86"/>
      <c r="DD95" s="86"/>
      <c r="DE95" s="87"/>
      <c r="DF95" s="87"/>
      <c r="DG95" s="87"/>
      <c r="DH95" s="87"/>
      <c r="DI95" s="87"/>
      <c r="DJ95" s="87"/>
      <c r="DK95" s="87"/>
      <c r="DL95" s="87"/>
      <c r="DM95" s="87"/>
      <c r="DN95" s="87"/>
      <c r="DO95" s="87"/>
      <c r="DP95" s="87"/>
      <c r="DQ95" s="87"/>
      <c r="DR95" s="87"/>
      <c r="DS95" s="88"/>
      <c r="DT95" s="85"/>
      <c r="DU95" s="86"/>
      <c r="DV95" s="86"/>
      <c r="DW95" s="86"/>
      <c r="DX95" s="87"/>
      <c r="DY95" s="87"/>
      <c r="DZ95" s="87"/>
      <c r="EA95" s="87"/>
      <c r="EB95" s="87"/>
      <c r="EC95" s="87"/>
      <c r="ED95" s="87"/>
      <c r="EE95" s="87"/>
      <c r="EF95" s="87"/>
      <c r="EG95" s="87"/>
      <c r="EH95" s="87"/>
      <c r="EI95" s="87"/>
      <c r="EJ95" s="87"/>
      <c r="EK95" s="87"/>
      <c r="EL95" s="88"/>
      <c r="EM95" s="85"/>
      <c r="EN95" s="86"/>
      <c r="EO95" s="86"/>
      <c r="EP95" s="86"/>
      <c r="EQ95" s="87"/>
      <c r="ER95" s="87"/>
      <c r="ES95" s="87"/>
      <c r="ET95" s="87"/>
      <c r="EU95" s="87"/>
      <c r="EV95" s="87"/>
      <c r="EW95" s="87"/>
      <c r="EX95" s="87"/>
      <c r="EY95" s="87"/>
      <c r="EZ95" s="87"/>
      <c r="FA95" s="87"/>
      <c r="FB95" s="87"/>
      <c r="FC95" s="87"/>
      <c r="FD95" s="87"/>
      <c r="FE95" s="89"/>
    </row>
    <row r="96" spans="2:161" s="6" customFormat="1" ht="13.2">
      <c r="B96" s="79" t="s">
        <v>175</v>
      </c>
      <c r="C96" s="103" t="s">
        <v>176</v>
      </c>
      <c r="D96" s="81">
        <f t="shared" si="46"/>
        <v>1964.68</v>
      </c>
      <c r="E96" s="82">
        <f t="shared" si="47"/>
        <v>0</v>
      </c>
      <c r="F96" s="83">
        <f t="shared" si="47"/>
        <v>0</v>
      </c>
      <c r="G96" s="83">
        <f t="shared" si="47"/>
        <v>0</v>
      </c>
      <c r="H96" s="83">
        <f t="shared" si="47"/>
        <v>0</v>
      </c>
      <c r="I96" s="84">
        <f t="shared" si="47"/>
        <v>0</v>
      </c>
      <c r="J96" s="84">
        <f t="shared" si="47"/>
        <v>0</v>
      </c>
      <c r="K96" s="84">
        <f t="shared" si="47"/>
        <v>0</v>
      </c>
      <c r="L96" s="84">
        <f t="shared" si="47"/>
        <v>0</v>
      </c>
      <c r="M96" s="84">
        <f t="shared" si="47"/>
        <v>0</v>
      </c>
      <c r="N96" s="84">
        <f t="shared" si="47"/>
        <v>0</v>
      </c>
      <c r="O96" s="84">
        <f t="shared" si="47"/>
        <v>0</v>
      </c>
      <c r="P96" s="84">
        <f t="shared" si="47"/>
        <v>0</v>
      </c>
      <c r="Q96" s="84">
        <f t="shared" si="47"/>
        <v>0</v>
      </c>
      <c r="R96" s="84">
        <f t="shared" si="47"/>
        <v>0</v>
      </c>
      <c r="S96" s="84">
        <f t="shared" si="47"/>
        <v>1964.68</v>
      </c>
      <c r="T96" s="84">
        <f t="shared" si="47"/>
        <v>0</v>
      </c>
      <c r="U96" s="84">
        <f t="shared" si="48"/>
        <v>0</v>
      </c>
      <c r="V96" s="84">
        <f t="shared" si="48"/>
        <v>0</v>
      </c>
      <c r="W96" s="84">
        <f>SIS064_F_Silumospunktue1Elektrosenergi5</f>
        <v>0</v>
      </c>
      <c r="X96" s="84">
        <f>SUM(SIS062_F_Silumospunktue1Geriamojovande1,SIS063_F_Silumospunktue1Geriamojovande1,SIS065_F_Silumospunktue1Geriamojovande1)</f>
        <v>0</v>
      </c>
      <c r="Y96" s="84">
        <f>SUM(SIS062_F_Silumospunktue1Paslaugaproduk8,SIS063_F_Silumospunktue1Paslaugaproduk8,SIS065_F_Silumospunktue1Paslaugaproduk8)</f>
        <v>0</v>
      </c>
      <c r="Z96" s="84">
        <f>SIS064_F_Silumospunktue1Elektrosenergi6</f>
        <v>0</v>
      </c>
      <c r="AA96" s="84">
        <f>SUM(SIS062_F_Silumospunktue1Konkurencinesi1,SIS063_F_Silumospunktue1Konkurencinesi1,SIS065_F_Silumospunktue1Konkurencinesi1,)</f>
        <v>0</v>
      </c>
      <c r="AB96" s="84">
        <f>SUM(SIS062_F_Silumospunktue1Paslaugaproduk9,SIS063_F_Silumospunktue1Paslaugaproduk9,SIS065_F_Silumospunktue1Paslaugaproduk9)</f>
        <v>0</v>
      </c>
      <c r="AC96" s="82"/>
      <c r="AD96" s="83"/>
      <c r="AE96" s="83"/>
      <c r="AF96" s="83"/>
      <c r="AG96" s="84"/>
      <c r="AH96" s="84"/>
      <c r="AI96" s="84"/>
      <c r="AJ96" s="84"/>
      <c r="AK96" s="84"/>
      <c r="AL96" s="84"/>
      <c r="AM96" s="87"/>
      <c r="AN96" s="87"/>
      <c r="AO96" s="87"/>
      <c r="AP96" s="87"/>
      <c r="AQ96" s="87">
        <v>1964.68</v>
      </c>
      <c r="AR96" s="87"/>
      <c r="AS96" s="87"/>
      <c r="AT96" s="87"/>
      <c r="AU96" s="88"/>
      <c r="AV96" s="82"/>
      <c r="AW96" s="83"/>
      <c r="AX96" s="83"/>
      <c r="AY96" s="83"/>
      <c r="AZ96" s="84"/>
      <c r="BA96" s="84"/>
      <c r="BB96" s="84"/>
      <c r="BC96" s="84"/>
      <c r="BD96" s="84"/>
      <c r="BE96" s="84"/>
      <c r="BF96" s="87"/>
      <c r="BG96" s="87"/>
      <c r="BH96" s="87"/>
      <c r="BI96" s="87"/>
      <c r="BJ96" s="87"/>
      <c r="BK96" s="87"/>
      <c r="BL96" s="87"/>
      <c r="BM96" s="87"/>
      <c r="BN96" s="88"/>
      <c r="BO96" s="82"/>
      <c r="BP96" s="83"/>
      <c r="BQ96" s="83"/>
      <c r="BR96" s="83"/>
      <c r="BS96" s="84"/>
      <c r="BT96" s="84"/>
      <c r="BU96" s="84"/>
      <c r="BV96" s="84"/>
      <c r="BW96" s="84"/>
      <c r="BX96" s="84"/>
      <c r="BY96" s="87"/>
      <c r="BZ96" s="87"/>
      <c r="CA96" s="87"/>
      <c r="CB96" s="87"/>
      <c r="CC96" s="87"/>
      <c r="CD96" s="87"/>
      <c r="CE96" s="87"/>
      <c r="CF96" s="87"/>
      <c r="CG96" s="88"/>
      <c r="CH96" s="82"/>
      <c r="CI96" s="83"/>
      <c r="CJ96" s="83"/>
      <c r="CK96" s="83"/>
      <c r="CL96" s="84"/>
      <c r="CM96" s="84"/>
      <c r="CN96" s="84"/>
      <c r="CO96" s="84"/>
      <c r="CP96" s="84"/>
      <c r="CQ96" s="84"/>
      <c r="CR96" s="87"/>
      <c r="CS96" s="87"/>
      <c r="CT96" s="87"/>
      <c r="CU96" s="87"/>
      <c r="CV96" s="87"/>
      <c r="CW96" s="87"/>
      <c r="CX96" s="87"/>
      <c r="CY96" s="87"/>
      <c r="CZ96" s="88"/>
      <c r="DA96" s="82"/>
      <c r="DB96" s="83"/>
      <c r="DC96" s="83"/>
      <c r="DD96" s="83"/>
      <c r="DE96" s="84"/>
      <c r="DF96" s="84"/>
      <c r="DG96" s="84"/>
      <c r="DH96" s="84"/>
      <c r="DI96" s="84"/>
      <c r="DJ96" s="84"/>
      <c r="DK96" s="87"/>
      <c r="DL96" s="87"/>
      <c r="DM96" s="87"/>
      <c r="DN96" s="87"/>
      <c r="DO96" s="87"/>
      <c r="DP96" s="87"/>
      <c r="DQ96" s="87"/>
      <c r="DR96" s="87"/>
      <c r="DS96" s="88"/>
      <c r="DT96" s="82"/>
      <c r="DU96" s="83"/>
      <c r="DV96" s="83"/>
      <c r="DW96" s="83"/>
      <c r="DX96" s="84"/>
      <c r="DY96" s="84"/>
      <c r="DZ96" s="84"/>
      <c r="EA96" s="84"/>
      <c r="EB96" s="84"/>
      <c r="EC96" s="84"/>
      <c r="ED96" s="87"/>
      <c r="EE96" s="87"/>
      <c r="EF96" s="87"/>
      <c r="EG96" s="87"/>
      <c r="EH96" s="87"/>
      <c r="EI96" s="87"/>
      <c r="EJ96" s="87"/>
      <c r="EK96" s="87"/>
      <c r="EL96" s="88"/>
      <c r="EM96" s="82"/>
      <c r="EN96" s="83"/>
      <c r="EO96" s="83"/>
      <c r="EP96" s="83"/>
      <c r="EQ96" s="84"/>
      <c r="ER96" s="84"/>
      <c r="ES96" s="84"/>
      <c r="ET96" s="84"/>
      <c r="EU96" s="84"/>
      <c r="EV96" s="84"/>
      <c r="EW96" s="87"/>
      <c r="EX96" s="87"/>
      <c r="EY96" s="87"/>
      <c r="EZ96" s="87"/>
      <c r="FA96" s="87"/>
      <c r="FB96" s="87"/>
      <c r="FC96" s="87"/>
      <c r="FD96" s="87"/>
      <c r="FE96" s="89"/>
    </row>
    <row r="97" spans="2:161" s="6" customFormat="1" ht="13.2">
      <c r="B97" s="79" t="s">
        <v>177</v>
      </c>
      <c r="C97" s="103" t="s">
        <v>178</v>
      </c>
      <c r="D97" s="81">
        <f t="shared" si="46"/>
        <v>8933.42</v>
      </c>
      <c r="E97" s="82">
        <f t="shared" si="47"/>
        <v>5523.0952570903864</v>
      </c>
      <c r="F97" s="83">
        <f t="shared" si="47"/>
        <v>0</v>
      </c>
      <c r="G97" s="83">
        <f t="shared" si="47"/>
        <v>0</v>
      </c>
      <c r="H97" s="83">
        <f t="shared" si="47"/>
        <v>0</v>
      </c>
      <c r="I97" s="84">
        <f t="shared" si="47"/>
        <v>0</v>
      </c>
      <c r="J97" s="84">
        <f t="shared" si="47"/>
        <v>1602.302830290881</v>
      </c>
      <c r="K97" s="84">
        <f t="shared" si="47"/>
        <v>0</v>
      </c>
      <c r="L97" s="84">
        <f t="shared" si="47"/>
        <v>0</v>
      </c>
      <c r="M97" s="84">
        <f t="shared" si="47"/>
        <v>247.0694206159809</v>
      </c>
      <c r="N97" s="84">
        <f t="shared" si="47"/>
        <v>205.33355184883902</v>
      </c>
      <c r="O97" s="84">
        <f t="shared" si="47"/>
        <v>0</v>
      </c>
      <c r="P97" s="84">
        <f t="shared" si="47"/>
        <v>168.4928258250784</v>
      </c>
      <c r="Q97" s="84">
        <f t="shared" si="47"/>
        <v>0</v>
      </c>
      <c r="R97" s="84">
        <f t="shared" si="47"/>
        <v>0</v>
      </c>
      <c r="S97" s="84">
        <f t="shared" si="47"/>
        <v>1129.9280518308587</v>
      </c>
      <c r="T97" s="84">
        <f t="shared" si="47"/>
        <v>0</v>
      </c>
      <c r="U97" s="84">
        <f t="shared" si="48"/>
        <v>0</v>
      </c>
      <c r="V97" s="84">
        <f t="shared" si="48"/>
        <v>0</v>
      </c>
      <c r="W97" s="84">
        <f>SIS064_F_Itaptarnavimos1Elektrosenergi5</f>
        <v>0</v>
      </c>
      <c r="X97" s="84">
        <f>SUM(SIS062_F_Itaptarnavimos1Geriamojovande1,SIS063_F_Itaptarnavimos1Geriamojovande1,SIS065_F_Itaptarnavimos1Geriamojovande1)</f>
        <v>0</v>
      </c>
      <c r="Y97" s="84">
        <f>SUM(SIS062_F_Itaptarnavimos1Paslaugaproduk8,SIS063_F_Itaptarnavimos1Paslaugaproduk8,SIS065_F_Itaptarnavimos1Paslaugaproduk8)</f>
        <v>0</v>
      </c>
      <c r="Z97" s="84">
        <f>SIS064_F_Itaptarnavimos1Elektrosenergi6</f>
        <v>0</v>
      </c>
      <c r="AA97" s="84">
        <f>SUM(SIS062_F_Itaptarnavimos1Konkurencinesi1,SIS063_F_Itaptarnavimos1Konkurencinesi1,SIS065_F_Itaptarnavimos1Konkurencinesi1,)</f>
        <v>0</v>
      </c>
      <c r="AB97" s="84">
        <f>SUM(SIS062_F_Itaptarnavimos1Paslaugaproduk9,SIS063_F_Itaptarnavimos1Paslaugaproduk9,SIS065_F_Itaptarnavimos1Paslaugaproduk9)</f>
        <v>57.198062497974711</v>
      </c>
      <c r="AC97" s="85">
        <v>5523.0952570903864</v>
      </c>
      <c r="AD97" s="86">
        <v>0</v>
      </c>
      <c r="AE97" s="86">
        <v>0</v>
      </c>
      <c r="AF97" s="86">
        <v>0</v>
      </c>
      <c r="AG97" s="87">
        <v>0</v>
      </c>
      <c r="AH97" s="87">
        <v>1602.302830290881</v>
      </c>
      <c r="AI97" s="87">
        <v>0</v>
      </c>
      <c r="AJ97" s="87">
        <v>0</v>
      </c>
      <c r="AK97" s="87">
        <v>247.0694206159809</v>
      </c>
      <c r="AL97" s="87">
        <v>205.33355184883902</v>
      </c>
      <c r="AM97" s="87">
        <v>0</v>
      </c>
      <c r="AN97" s="87">
        <v>168.4928258250784</v>
      </c>
      <c r="AO97" s="87">
        <v>0</v>
      </c>
      <c r="AP97" s="87">
        <v>0</v>
      </c>
      <c r="AQ97" s="87">
        <v>1129.9280518308587</v>
      </c>
      <c r="AR97" s="87">
        <v>0</v>
      </c>
      <c r="AS97" s="87">
        <v>0</v>
      </c>
      <c r="AT97" s="87">
        <v>0</v>
      </c>
      <c r="AU97" s="88">
        <v>0</v>
      </c>
      <c r="AV97" s="85">
        <v>0</v>
      </c>
      <c r="AW97" s="86">
        <v>0</v>
      </c>
      <c r="AX97" s="86">
        <v>0</v>
      </c>
      <c r="AY97" s="86">
        <v>0</v>
      </c>
      <c r="AZ97" s="87"/>
      <c r="BA97" s="87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  <c r="BN97" s="88"/>
      <c r="BO97" s="85"/>
      <c r="BP97" s="86"/>
      <c r="BQ97" s="86"/>
      <c r="BR97" s="86"/>
      <c r="BS97" s="87"/>
      <c r="BT97" s="87"/>
      <c r="BU97" s="87"/>
      <c r="BV97" s="87"/>
      <c r="BW97" s="87"/>
      <c r="BX97" s="87"/>
      <c r="BY97" s="87"/>
      <c r="BZ97" s="87"/>
      <c r="CA97" s="87"/>
      <c r="CB97" s="87"/>
      <c r="CC97" s="87"/>
      <c r="CD97" s="87"/>
      <c r="CE97" s="87"/>
      <c r="CF97" s="87"/>
      <c r="CG97" s="88"/>
      <c r="CH97" s="85"/>
      <c r="CI97" s="86"/>
      <c r="CJ97" s="86"/>
      <c r="CK97" s="86"/>
      <c r="CL97" s="87"/>
      <c r="CM97" s="87"/>
      <c r="CN97" s="87"/>
      <c r="CO97" s="87"/>
      <c r="CP97" s="87"/>
      <c r="CQ97" s="87"/>
      <c r="CR97" s="87"/>
      <c r="CS97" s="87"/>
      <c r="CT97" s="87"/>
      <c r="CU97" s="87"/>
      <c r="CV97" s="87"/>
      <c r="CW97" s="87"/>
      <c r="CX97" s="87"/>
      <c r="CY97" s="87"/>
      <c r="CZ97" s="88"/>
      <c r="DA97" s="85"/>
      <c r="DB97" s="86"/>
      <c r="DC97" s="86"/>
      <c r="DD97" s="86"/>
      <c r="DE97" s="87"/>
      <c r="DF97" s="87"/>
      <c r="DG97" s="87"/>
      <c r="DH97" s="87"/>
      <c r="DI97" s="87"/>
      <c r="DJ97" s="87"/>
      <c r="DK97" s="87"/>
      <c r="DL97" s="87"/>
      <c r="DM97" s="87"/>
      <c r="DN97" s="87"/>
      <c r="DO97" s="87"/>
      <c r="DP97" s="87"/>
      <c r="DQ97" s="87"/>
      <c r="DR97" s="87"/>
      <c r="DS97" s="88"/>
      <c r="DT97" s="85"/>
      <c r="DU97" s="86"/>
      <c r="DV97" s="86"/>
      <c r="DW97" s="86"/>
      <c r="DX97" s="87"/>
      <c r="DY97" s="87"/>
      <c r="DZ97" s="87"/>
      <c r="EA97" s="87"/>
      <c r="EB97" s="87"/>
      <c r="EC97" s="87"/>
      <c r="ED97" s="87"/>
      <c r="EE97" s="87"/>
      <c r="EF97" s="87"/>
      <c r="EG97" s="87"/>
      <c r="EH97" s="87"/>
      <c r="EI97" s="87"/>
      <c r="EJ97" s="87"/>
      <c r="EK97" s="87"/>
      <c r="EL97" s="88"/>
      <c r="EM97" s="85"/>
      <c r="EN97" s="86"/>
      <c r="EO97" s="86"/>
      <c r="EP97" s="86"/>
      <c r="EQ97" s="87"/>
      <c r="ER97" s="87"/>
      <c r="ES97" s="87"/>
      <c r="ET97" s="87"/>
      <c r="EU97" s="87"/>
      <c r="EV97" s="87"/>
      <c r="EW97" s="87"/>
      <c r="EX97" s="87"/>
      <c r="EY97" s="87"/>
      <c r="EZ97" s="87"/>
      <c r="FA97" s="87"/>
      <c r="FB97" s="87"/>
      <c r="FC97" s="87"/>
      <c r="FD97" s="87"/>
      <c r="FE97" s="89"/>
    </row>
    <row r="98" spans="2:161" s="6" customFormat="1" ht="13.2">
      <c r="B98" s="79" t="s">
        <v>179</v>
      </c>
      <c r="C98" s="103" t="s">
        <v>180</v>
      </c>
      <c r="D98" s="81">
        <f t="shared" si="46"/>
        <v>1255</v>
      </c>
      <c r="E98" s="82">
        <f t="shared" si="47"/>
        <v>0</v>
      </c>
      <c r="F98" s="83">
        <f t="shared" si="47"/>
        <v>0</v>
      </c>
      <c r="G98" s="83">
        <f t="shared" si="47"/>
        <v>0</v>
      </c>
      <c r="H98" s="83">
        <f t="shared" si="47"/>
        <v>0</v>
      </c>
      <c r="I98" s="84">
        <f t="shared" si="47"/>
        <v>0</v>
      </c>
      <c r="J98" s="84">
        <f t="shared" si="47"/>
        <v>0</v>
      </c>
      <c r="K98" s="84">
        <f t="shared" si="47"/>
        <v>0</v>
      </c>
      <c r="L98" s="84">
        <f t="shared" si="47"/>
        <v>0</v>
      </c>
      <c r="M98" s="84">
        <f t="shared" si="47"/>
        <v>0</v>
      </c>
      <c r="N98" s="84">
        <f t="shared" si="47"/>
        <v>1255</v>
      </c>
      <c r="O98" s="84">
        <f t="shared" si="47"/>
        <v>0</v>
      </c>
      <c r="P98" s="84">
        <f t="shared" si="47"/>
        <v>0</v>
      </c>
      <c r="Q98" s="84">
        <f t="shared" si="47"/>
        <v>0</v>
      </c>
      <c r="R98" s="84">
        <f t="shared" si="47"/>
        <v>0</v>
      </c>
      <c r="S98" s="84">
        <f t="shared" si="47"/>
        <v>0</v>
      </c>
      <c r="T98" s="84">
        <f t="shared" si="47"/>
        <v>0</v>
      </c>
      <c r="U98" s="84">
        <f t="shared" si="48"/>
        <v>0</v>
      </c>
      <c r="V98" s="84">
        <f t="shared" si="48"/>
        <v>0</v>
      </c>
      <c r="W98" s="84">
        <f>SIS064_F_Kituobjektunur1Elektrosenergi5</f>
        <v>0</v>
      </c>
      <c r="X98" s="84">
        <f>SUM(SIS062_F_Kituobjektunur1Geriamojovande1,SIS063_F_Kituobjektunur1Geriamojovande1,SIS065_F_Kituobjektunur1Geriamojovande1)</f>
        <v>0</v>
      </c>
      <c r="Y98" s="84">
        <f>SUM(SIS062_F_Kituobjektunur1Paslaugaproduk8,SIS063_F_Kituobjektunur1Paslaugaproduk8,SIS065_F_Kituobjektunur1Paslaugaproduk8)</f>
        <v>0</v>
      </c>
      <c r="Z98" s="84">
        <f>SIS064_F_Kituobjektunur1Elektrosenergi6</f>
        <v>0</v>
      </c>
      <c r="AA98" s="84">
        <f>SUM(SIS062_F_Kituobjektunur1Konkurencinesi1,SIS063_F_Kituobjektunur1Konkurencinesi1,SIS065_F_Kituobjektunur1Konkurencinesi1,)</f>
        <v>0</v>
      </c>
      <c r="AB98" s="84">
        <f>SUM(SIS062_F_Kituobjektunur1Paslaugaproduk9,SIS063_F_Kituobjektunur1Paslaugaproduk9,SIS065_F_Kituobjektunur1Paslaugaproduk9)</f>
        <v>0</v>
      </c>
      <c r="AC98" s="85">
        <v>0</v>
      </c>
      <c r="AD98" s="86">
        <v>0</v>
      </c>
      <c r="AE98" s="86">
        <v>0</v>
      </c>
      <c r="AF98" s="86">
        <v>0</v>
      </c>
      <c r="AG98" s="87">
        <v>0</v>
      </c>
      <c r="AH98" s="87">
        <v>0</v>
      </c>
      <c r="AI98" s="87">
        <v>0</v>
      </c>
      <c r="AJ98" s="87">
        <v>0</v>
      </c>
      <c r="AK98" s="87">
        <v>0</v>
      </c>
      <c r="AL98" s="87">
        <v>1255</v>
      </c>
      <c r="AM98" s="87">
        <v>0</v>
      </c>
      <c r="AN98" s="87">
        <v>0</v>
      </c>
      <c r="AO98" s="87">
        <v>0</v>
      </c>
      <c r="AP98" s="87">
        <v>0</v>
      </c>
      <c r="AQ98" s="87">
        <v>0</v>
      </c>
      <c r="AR98" s="87">
        <v>0</v>
      </c>
      <c r="AS98" s="87">
        <v>0</v>
      </c>
      <c r="AT98" s="87">
        <v>0</v>
      </c>
      <c r="AU98" s="88">
        <v>0</v>
      </c>
      <c r="AV98" s="85">
        <v>0</v>
      </c>
      <c r="AW98" s="86">
        <v>0</v>
      </c>
      <c r="AX98" s="86">
        <v>0</v>
      </c>
      <c r="AY98" s="86">
        <v>0</v>
      </c>
      <c r="AZ98" s="87"/>
      <c r="BA98" s="87"/>
      <c r="BB98" s="87"/>
      <c r="BC98" s="87"/>
      <c r="BD98" s="87"/>
      <c r="BE98" s="87"/>
      <c r="BF98" s="87"/>
      <c r="BG98" s="87"/>
      <c r="BH98" s="87"/>
      <c r="BI98" s="87"/>
      <c r="BJ98" s="87"/>
      <c r="BK98" s="87"/>
      <c r="BL98" s="87"/>
      <c r="BM98" s="87"/>
      <c r="BN98" s="88"/>
      <c r="BO98" s="85"/>
      <c r="BP98" s="86"/>
      <c r="BQ98" s="86"/>
      <c r="BR98" s="86"/>
      <c r="BS98" s="87"/>
      <c r="BT98" s="87"/>
      <c r="BU98" s="87"/>
      <c r="BV98" s="87"/>
      <c r="BW98" s="87"/>
      <c r="BX98" s="87"/>
      <c r="BY98" s="87"/>
      <c r="BZ98" s="87"/>
      <c r="CA98" s="87"/>
      <c r="CB98" s="87"/>
      <c r="CC98" s="87"/>
      <c r="CD98" s="87"/>
      <c r="CE98" s="87"/>
      <c r="CF98" s="87"/>
      <c r="CG98" s="88"/>
      <c r="CH98" s="85"/>
      <c r="CI98" s="86"/>
      <c r="CJ98" s="86"/>
      <c r="CK98" s="86"/>
      <c r="CL98" s="87"/>
      <c r="CM98" s="87"/>
      <c r="CN98" s="87"/>
      <c r="CO98" s="87"/>
      <c r="CP98" s="87"/>
      <c r="CQ98" s="87"/>
      <c r="CR98" s="87"/>
      <c r="CS98" s="87"/>
      <c r="CT98" s="87"/>
      <c r="CU98" s="87"/>
      <c r="CV98" s="87"/>
      <c r="CW98" s="87"/>
      <c r="CX98" s="87"/>
      <c r="CY98" s="87"/>
      <c r="CZ98" s="88"/>
      <c r="DA98" s="85"/>
      <c r="DB98" s="86"/>
      <c r="DC98" s="86"/>
      <c r="DD98" s="86"/>
      <c r="DE98" s="87"/>
      <c r="DF98" s="87"/>
      <c r="DG98" s="87"/>
      <c r="DH98" s="87"/>
      <c r="DI98" s="87"/>
      <c r="DJ98" s="87"/>
      <c r="DK98" s="87"/>
      <c r="DL98" s="87"/>
      <c r="DM98" s="87"/>
      <c r="DN98" s="87"/>
      <c r="DO98" s="87"/>
      <c r="DP98" s="87"/>
      <c r="DQ98" s="87"/>
      <c r="DR98" s="87"/>
      <c r="DS98" s="88"/>
      <c r="DT98" s="85"/>
      <c r="DU98" s="86"/>
      <c r="DV98" s="86"/>
      <c r="DW98" s="86"/>
      <c r="DX98" s="87"/>
      <c r="DY98" s="87"/>
      <c r="DZ98" s="87"/>
      <c r="EA98" s="87"/>
      <c r="EB98" s="87"/>
      <c r="EC98" s="87"/>
      <c r="ED98" s="87"/>
      <c r="EE98" s="87"/>
      <c r="EF98" s="87"/>
      <c r="EG98" s="87"/>
      <c r="EH98" s="87"/>
      <c r="EI98" s="87"/>
      <c r="EJ98" s="87"/>
      <c r="EK98" s="87"/>
      <c r="EL98" s="88"/>
      <c r="EM98" s="85"/>
      <c r="EN98" s="86"/>
      <c r="EO98" s="86"/>
      <c r="EP98" s="86"/>
      <c r="EQ98" s="87"/>
      <c r="ER98" s="87"/>
      <c r="ES98" s="87"/>
      <c r="ET98" s="87"/>
      <c r="EU98" s="87"/>
      <c r="EV98" s="87"/>
      <c r="EW98" s="87"/>
      <c r="EX98" s="87"/>
      <c r="EY98" s="87"/>
      <c r="EZ98" s="87"/>
      <c r="FA98" s="87"/>
      <c r="FB98" s="87"/>
      <c r="FC98" s="87"/>
      <c r="FD98" s="87"/>
      <c r="FE98" s="89"/>
    </row>
    <row r="99" spans="2:161" s="6" customFormat="1" ht="13.2">
      <c r="B99" s="79" t="s">
        <v>181</v>
      </c>
      <c r="C99" s="103" t="s">
        <v>182</v>
      </c>
      <c r="D99" s="81">
        <f t="shared" si="46"/>
        <v>20614.240000000002</v>
      </c>
      <c r="E99" s="82">
        <f t="shared" si="47"/>
        <v>20614.240000000002</v>
      </c>
      <c r="F99" s="83">
        <f t="shared" si="47"/>
        <v>0</v>
      </c>
      <c r="G99" s="83">
        <f t="shared" si="47"/>
        <v>0</v>
      </c>
      <c r="H99" s="83">
        <f t="shared" si="47"/>
        <v>0</v>
      </c>
      <c r="I99" s="84">
        <f t="shared" si="47"/>
        <v>0</v>
      </c>
      <c r="J99" s="84">
        <f t="shared" si="47"/>
        <v>0</v>
      </c>
      <c r="K99" s="84">
        <f t="shared" si="47"/>
        <v>0</v>
      </c>
      <c r="L99" s="84">
        <f t="shared" si="47"/>
        <v>0</v>
      </c>
      <c r="M99" s="84">
        <f t="shared" si="47"/>
        <v>0</v>
      </c>
      <c r="N99" s="84">
        <f t="shared" si="47"/>
        <v>0</v>
      </c>
      <c r="O99" s="84">
        <f t="shared" si="47"/>
        <v>0</v>
      </c>
      <c r="P99" s="84">
        <f t="shared" si="47"/>
        <v>0</v>
      </c>
      <c r="Q99" s="84">
        <f t="shared" si="47"/>
        <v>0</v>
      </c>
      <c r="R99" s="84">
        <f t="shared" si="47"/>
        <v>0</v>
      </c>
      <c r="S99" s="84">
        <f t="shared" si="47"/>
        <v>0</v>
      </c>
      <c r="T99" s="84">
        <f t="shared" si="47"/>
        <v>0</v>
      </c>
      <c r="U99" s="84">
        <f t="shared" si="48"/>
        <v>0</v>
      </c>
      <c r="V99" s="84">
        <f t="shared" si="48"/>
        <v>0</v>
      </c>
      <c r="W99" s="84">
        <f>SIS064_F_Medziaguzaliav1Elektrosenergi5</f>
        <v>0</v>
      </c>
      <c r="X99" s="84">
        <f>SUM(SIS062_F_Medziaguzaliav1Geriamojovande1,SIS063_F_Medziaguzaliav1Geriamojovande1,SIS065_F_Medziaguzaliav1Geriamojovande1)</f>
        <v>0</v>
      </c>
      <c r="Y99" s="84">
        <f>SUM(SIS062_F_Medziaguzaliav1Paslaugaproduk8,SIS063_F_Medziaguzaliav1Paslaugaproduk8,SIS065_F_Medziaguzaliav1Paslaugaproduk8)</f>
        <v>0</v>
      </c>
      <c r="Z99" s="84">
        <f>SIS064_F_Medziaguzaliav1Elektrosenergi6</f>
        <v>0</v>
      </c>
      <c r="AA99" s="84">
        <f>SUM(SIS062_F_Medziaguzaliav1Konkurencinesi1,SIS063_F_Medziaguzaliav1Konkurencinesi1,SIS065_F_Medziaguzaliav1Konkurencinesi1,)</f>
        <v>0</v>
      </c>
      <c r="AB99" s="84">
        <f>SUM(SIS062_F_Medziaguzaliav1Paslaugaproduk9,SIS063_F_Medziaguzaliav1Paslaugaproduk9,SIS065_F_Medziaguzaliav1Paslaugaproduk9)</f>
        <v>0</v>
      </c>
      <c r="AC99" s="85">
        <v>20614.240000000002</v>
      </c>
      <c r="AD99" s="86">
        <v>0</v>
      </c>
      <c r="AE99" s="86">
        <v>0</v>
      </c>
      <c r="AF99" s="86">
        <v>0</v>
      </c>
      <c r="AG99" s="87">
        <v>0</v>
      </c>
      <c r="AH99" s="87">
        <v>0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8">
        <v>0</v>
      </c>
      <c r="AV99" s="85">
        <v>0</v>
      </c>
      <c r="AW99" s="86">
        <v>0</v>
      </c>
      <c r="AX99" s="86">
        <v>0</v>
      </c>
      <c r="AY99" s="86">
        <v>0</v>
      </c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8"/>
      <c r="BO99" s="85"/>
      <c r="BP99" s="86"/>
      <c r="BQ99" s="86"/>
      <c r="BR99" s="86"/>
      <c r="BS99" s="87"/>
      <c r="BT99" s="87"/>
      <c r="BU99" s="87"/>
      <c r="BV99" s="87"/>
      <c r="BW99" s="87"/>
      <c r="BX99" s="87"/>
      <c r="BY99" s="87"/>
      <c r="BZ99" s="87"/>
      <c r="CA99" s="87"/>
      <c r="CB99" s="87"/>
      <c r="CC99" s="87"/>
      <c r="CD99" s="87"/>
      <c r="CE99" s="87"/>
      <c r="CF99" s="87"/>
      <c r="CG99" s="88"/>
      <c r="CH99" s="85"/>
      <c r="CI99" s="86"/>
      <c r="CJ99" s="86"/>
      <c r="CK99" s="86"/>
      <c r="CL99" s="87"/>
      <c r="CM99" s="87"/>
      <c r="CN99" s="87"/>
      <c r="CO99" s="87"/>
      <c r="CP99" s="87"/>
      <c r="CQ99" s="87"/>
      <c r="CR99" s="87"/>
      <c r="CS99" s="87"/>
      <c r="CT99" s="87"/>
      <c r="CU99" s="87"/>
      <c r="CV99" s="87"/>
      <c r="CW99" s="87"/>
      <c r="CX99" s="87"/>
      <c r="CY99" s="87"/>
      <c r="CZ99" s="88"/>
      <c r="DA99" s="85"/>
      <c r="DB99" s="86"/>
      <c r="DC99" s="86"/>
      <c r="DD99" s="86"/>
      <c r="DE99" s="87"/>
      <c r="DF99" s="87"/>
      <c r="DG99" s="87"/>
      <c r="DH99" s="87"/>
      <c r="DI99" s="87"/>
      <c r="DJ99" s="87"/>
      <c r="DK99" s="87"/>
      <c r="DL99" s="87"/>
      <c r="DM99" s="87"/>
      <c r="DN99" s="87"/>
      <c r="DO99" s="87"/>
      <c r="DP99" s="87"/>
      <c r="DQ99" s="87"/>
      <c r="DR99" s="87"/>
      <c r="DS99" s="88"/>
      <c r="DT99" s="85"/>
      <c r="DU99" s="86"/>
      <c r="DV99" s="86"/>
      <c r="DW99" s="86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87"/>
      <c r="EL99" s="88"/>
      <c r="EM99" s="85"/>
      <c r="EN99" s="86"/>
      <c r="EO99" s="86"/>
      <c r="EP99" s="86"/>
      <c r="EQ99" s="87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  <c r="FD99" s="87"/>
      <c r="FE99" s="89"/>
    </row>
    <row r="100" spans="2:161" s="6" customFormat="1" ht="13.2">
      <c r="B100" s="79" t="s">
        <v>183</v>
      </c>
      <c r="C100" s="103" t="s">
        <v>184</v>
      </c>
      <c r="D100" s="81">
        <f t="shared" si="46"/>
        <v>5120.26</v>
      </c>
      <c r="E100" s="82">
        <f t="shared" si="47"/>
        <v>0</v>
      </c>
      <c r="F100" s="83">
        <f t="shared" si="47"/>
        <v>0</v>
      </c>
      <c r="G100" s="83">
        <f t="shared" si="47"/>
        <v>0</v>
      </c>
      <c r="H100" s="83">
        <f t="shared" si="47"/>
        <v>0</v>
      </c>
      <c r="I100" s="84">
        <f t="shared" si="47"/>
        <v>0</v>
      </c>
      <c r="J100" s="84">
        <f t="shared" si="47"/>
        <v>5120.26</v>
      </c>
      <c r="K100" s="84">
        <f t="shared" si="47"/>
        <v>0</v>
      </c>
      <c r="L100" s="84">
        <f t="shared" si="47"/>
        <v>0</v>
      </c>
      <c r="M100" s="84">
        <f t="shared" si="47"/>
        <v>0</v>
      </c>
      <c r="N100" s="84">
        <f t="shared" si="47"/>
        <v>0</v>
      </c>
      <c r="O100" s="84">
        <f t="shared" si="47"/>
        <v>0</v>
      </c>
      <c r="P100" s="84">
        <f t="shared" si="47"/>
        <v>0</v>
      </c>
      <c r="Q100" s="84">
        <f t="shared" si="47"/>
        <v>0</v>
      </c>
      <c r="R100" s="84">
        <f t="shared" si="47"/>
        <v>0</v>
      </c>
      <c r="S100" s="84">
        <f t="shared" si="47"/>
        <v>0</v>
      </c>
      <c r="T100" s="84">
        <f t="shared" si="47"/>
        <v>0</v>
      </c>
      <c r="U100" s="84">
        <f t="shared" si="48"/>
        <v>0</v>
      </c>
      <c r="V100" s="84">
        <f t="shared" si="48"/>
        <v>0</v>
      </c>
      <c r="W100" s="84">
        <f>SIS064_F_Medziaguzaliav2Elektrosenergi5</f>
        <v>0</v>
      </c>
      <c r="X100" s="84">
        <f>SUM(SIS062_F_Medziaguzaliav2Geriamojovande1,SIS063_F_Medziaguzaliav2Geriamojovande1,SIS065_F_Medziaguzaliav2Geriamojovande1)</f>
        <v>0</v>
      </c>
      <c r="Y100" s="84">
        <f>SUM(SIS062_F_Medziaguzaliav2Paslaugaproduk8,SIS063_F_Medziaguzaliav2Paslaugaproduk8,SIS065_F_Medziaguzaliav2Paslaugaproduk8)</f>
        <v>0</v>
      </c>
      <c r="Z100" s="84">
        <f>SIS064_F_Medziaguzaliav2Elektrosenergi6</f>
        <v>0</v>
      </c>
      <c r="AA100" s="84">
        <f>SUM(SIS062_F_Medziaguzaliav2Konkurencinesi1,SIS063_F_Medziaguzaliav2Konkurencinesi1,SIS065_F_Medziaguzaliav2Konkurencinesi1,)</f>
        <v>0</v>
      </c>
      <c r="AB100" s="84">
        <f>SUM(SIS062_F_Medziaguzaliav2Paslaugaproduk9,SIS063_F_Medziaguzaliav2Paslaugaproduk9,SIS065_F_Medziaguzaliav2Paslaugaproduk9)</f>
        <v>0</v>
      </c>
      <c r="AC100" s="85">
        <v>0</v>
      </c>
      <c r="AD100" s="86">
        <v>0</v>
      </c>
      <c r="AE100" s="86">
        <v>0</v>
      </c>
      <c r="AF100" s="86">
        <v>0</v>
      </c>
      <c r="AG100" s="87">
        <v>0</v>
      </c>
      <c r="AH100" s="87">
        <v>5120.26</v>
      </c>
      <c r="AI100" s="87">
        <v>0</v>
      </c>
      <c r="AJ100" s="87">
        <v>0</v>
      </c>
      <c r="AK100" s="87">
        <v>0</v>
      </c>
      <c r="AL100" s="87">
        <v>0</v>
      </c>
      <c r="AM100" s="87">
        <v>0</v>
      </c>
      <c r="AN100" s="87">
        <v>0</v>
      </c>
      <c r="AO100" s="87">
        <v>0</v>
      </c>
      <c r="AP100" s="87">
        <v>0</v>
      </c>
      <c r="AQ100" s="87">
        <v>0</v>
      </c>
      <c r="AR100" s="87">
        <v>0</v>
      </c>
      <c r="AS100" s="87">
        <v>0</v>
      </c>
      <c r="AT100" s="87">
        <v>0</v>
      </c>
      <c r="AU100" s="88">
        <v>0</v>
      </c>
      <c r="AV100" s="85">
        <v>0</v>
      </c>
      <c r="AW100" s="86">
        <v>0</v>
      </c>
      <c r="AX100" s="86">
        <v>0</v>
      </c>
      <c r="AY100" s="86">
        <v>0</v>
      </c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8"/>
      <c r="BO100" s="85"/>
      <c r="BP100" s="86"/>
      <c r="BQ100" s="86"/>
      <c r="BR100" s="86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8"/>
      <c r="CH100" s="85"/>
      <c r="CI100" s="86"/>
      <c r="CJ100" s="86"/>
      <c r="CK100" s="86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8"/>
      <c r="DA100" s="85"/>
      <c r="DB100" s="86"/>
      <c r="DC100" s="86"/>
      <c r="DD100" s="86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8"/>
      <c r="DT100" s="85"/>
      <c r="DU100" s="86"/>
      <c r="DV100" s="86"/>
      <c r="DW100" s="86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8"/>
      <c r="EM100" s="85"/>
      <c r="EN100" s="86"/>
      <c r="EO100" s="86"/>
      <c r="EP100" s="86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  <c r="FE100" s="89"/>
    </row>
    <row r="101" spans="2:161" s="6" customFormat="1" ht="13.2">
      <c r="B101" s="79" t="s">
        <v>185</v>
      </c>
      <c r="C101" s="103" t="s">
        <v>186</v>
      </c>
      <c r="D101" s="81">
        <f t="shared" si="46"/>
        <v>8206.5499999999993</v>
      </c>
      <c r="E101" s="82">
        <f t="shared" si="47"/>
        <v>0</v>
      </c>
      <c r="F101" s="83">
        <f t="shared" si="47"/>
        <v>0</v>
      </c>
      <c r="G101" s="83">
        <f t="shared" si="47"/>
        <v>0</v>
      </c>
      <c r="H101" s="83">
        <f t="shared" si="47"/>
        <v>0</v>
      </c>
      <c r="I101" s="84">
        <f t="shared" si="47"/>
        <v>0</v>
      </c>
      <c r="J101" s="84">
        <f t="shared" si="47"/>
        <v>0</v>
      </c>
      <c r="K101" s="84">
        <f t="shared" si="47"/>
        <v>0</v>
      </c>
      <c r="L101" s="84">
        <f t="shared" si="47"/>
        <v>0</v>
      </c>
      <c r="M101" s="84">
        <f t="shared" si="47"/>
        <v>0</v>
      </c>
      <c r="N101" s="84">
        <f t="shared" si="47"/>
        <v>0</v>
      </c>
      <c r="O101" s="84">
        <f t="shared" si="47"/>
        <v>0</v>
      </c>
      <c r="P101" s="84">
        <f t="shared" si="47"/>
        <v>0</v>
      </c>
      <c r="Q101" s="84">
        <f t="shared" si="47"/>
        <v>0</v>
      </c>
      <c r="R101" s="84">
        <f t="shared" si="47"/>
        <v>0</v>
      </c>
      <c r="S101" s="84">
        <f t="shared" si="47"/>
        <v>8206.5499999999993</v>
      </c>
      <c r="T101" s="84">
        <f t="shared" si="47"/>
        <v>0</v>
      </c>
      <c r="U101" s="84">
        <f t="shared" si="48"/>
        <v>0</v>
      </c>
      <c r="V101" s="84">
        <f t="shared" si="48"/>
        <v>0</v>
      </c>
      <c r="W101" s="84">
        <f>SIS064_F_Medziaguzaliav3Elektrosenergi5</f>
        <v>0</v>
      </c>
      <c r="X101" s="84">
        <f>SUM(SIS062_F_Medziaguzaliav3Geriamojovande1,SIS063_F_Medziaguzaliav3Geriamojovande1,SIS065_F_Medziaguzaliav3Geriamojovande1)</f>
        <v>0</v>
      </c>
      <c r="Y101" s="84">
        <f>SUM(SIS062_F_Medziaguzaliav3Paslaugaproduk8,SIS063_F_Medziaguzaliav3Paslaugaproduk8,SIS065_F_Medziaguzaliav3Paslaugaproduk8)</f>
        <v>0</v>
      </c>
      <c r="Z101" s="84">
        <f>SIS064_F_Medziaguzaliav3Elektrosenergi6</f>
        <v>0</v>
      </c>
      <c r="AA101" s="84">
        <f>SUM(SIS062_F_Medziaguzaliav3Konkurencinesi1,SIS063_F_Medziaguzaliav3Konkurencinesi1,SIS065_F_Medziaguzaliav3Konkurencinesi1,)</f>
        <v>0</v>
      </c>
      <c r="AB101" s="84">
        <f>SUM(SIS062_F_Medziaguzaliav3Paslaugaproduk9,SIS063_F_Medziaguzaliav3Paslaugaproduk9,SIS065_F_Medziaguzaliav3Paslaugaproduk9)</f>
        <v>0</v>
      </c>
      <c r="AC101" s="85">
        <v>0</v>
      </c>
      <c r="AD101" s="86">
        <v>0</v>
      </c>
      <c r="AE101" s="86">
        <v>0</v>
      </c>
      <c r="AF101" s="86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8206.5499999999993</v>
      </c>
      <c r="AR101" s="87">
        <v>0</v>
      </c>
      <c r="AS101" s="87">
        <v>0</v>
      </c>
      <c r="AT101" s="87">
        <v>0</v>
      </c>
      <c r="AU101" s="88">
        <v>0</v>
      </c>
      <c r="AV101" s="85">
        <v>0</v>
      </c>
      <c r="AW101" s="86">
        <v>0</v>
      </c>
      <c r="AX101" s="86">
        <v>0</v>
      </c>
      <c r="AY101" s="86">
        <v>0</v>
      </c>
      <c r="AZ101" s="87"/>
      <c r="BA101" s="87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8"/>
      <c r="BO101" s="85"/>
      <c r="BP101" s="86"/>
      <c r="BQ101" s="86"/>
      <c r="BR101" s="86"/>
      <c r="BS101" s="87"/>
      <c r="BT101" s="87"/>
      <c r="BU101" s="87"/>
      <c r="BV101" s="87"/>
      <c r="BW101" s="87"/>
      <c r="BX101" s="87"/>
      <c r="BY101" s="87"/>
      <c r="BZ101" s="87"/>
      <c r="CA101" s="87"/>
      <c r="CB101" s="87"/>
      <c r="CC101" s="87"/>
      <c r="CD101" s="87"/>
      <c r="CE101" s="87"/>
      <c r="CF101" s="87"/>
      <c r="CG101" s="88"/>
      <c r="CH101" s="85"/>
      <c r="CI101" s="86"/>
      <c r="CJ101" s="86"/>
      <c r="CK101" s="86"/>
      <c r="CL101" s="87"/>
      <c r="CM101" s="87"/>
      <c r="CN101" s="87"/>
      <c r="CO101" s="87"/>
      <c r="CP101" s="87"/>
      <c r="CQ101" s="87"/>
      <c r="CR101" s="87"/>
      <c r="CS101" s="87"/>
      <c r="CT101" s="87"/>
      <c r="CU101" s="87"/>
      <c r="CV101" s="87"/>
      <c r="CW101" s="87"/>
      <c r="CX101" s="87"/>
      <c r="CY101" s="87"/>
      <c r="CZ101" s="88"/>
      <c r="DA101" s="85"/>
      <c r="DB101" s="86"/>
      <c r="DC101" s="86"/>
      <c r="DD101" s="86"/>
      <c r="DE101" s="87"/>
      <c r="DF101" s="87"/>
      <c r="DG101" s="87"/>
      <c r="DH101" s="87"/>
      <c r="DI101" s="87"/>
      <c r="DJ101" s="87"/>
      <c r="DK101" s="87"/>
      <c r="DL101" s="87"/>
      <c r="DM101" s="87"/>
      <c r="DN101" s="87"/>
      <c r="DO101" s="87"/>
      <c r="DP101" s="87"/>
      <c r="DQ101" s="87"/>
      <c r="DR101" s="87"/>
      <c r="DS101" s="88"/>
      <c r="DT101" s="85"/>
      <c r="DU101" s="86"/>
      <c r="DV101" s="86"/>
      <c r="DW101" s="86"/>
      <c r="DX101" s="87"/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7"/>
      <c r="EJ101" s="87"/>
      <c r="EK101" s="87"/>
      <c r="EL101" s="88"/>
      <c r="EM101" s="85"/>
      <c r="EN101" s="86"/>
      <c r="EO101" s="86"/>
      <c r="EP101" s="86"/>
      <c r="EQ101" s="87"/>
      <c r="ER101" s="87"/>
      <c r="ES101" s="87"/>
      <c r="ET101" s="87"/>
      <c r="EU101" s="87"/>
      <c r="EV101" s="87"/>
      <c r="EW101" s="87"/>
      <c r="EX101" s="87"/>
      <c r="EY101" s="87"/>
      <c r="EZ101" s="87"/>
      <c r="FA101" s="87"/>
      <c r="FB101" s="87"/>
      <c r="FC101" s="87"/>
      <c r="FD101" s="87"/>
      <c r="FE101" s="89"/>
    </row>
    <row r="102" spans="2:161" s="6" customFormat="1" ht="13.2">
      <c r="B102" s="79" t="s">
        <v>187</v>
      </c>
      <c r="C102" s="103" t="s">
        <v>188</v>
      </c>
      <c r="D102" s="81">
        <f t="shared" si="46"/>
        <v>6.2100000000000009</v>
      </c>
      <c r="E102" s="82">
        <f t="shared" si="47"/>
        <v>4.0002008695107252</v>
      </c>
      <c r="F102" s="83">
        <f t="shared" si="47"/>
        <v>0</v>
      </c>
      <c r="G102" s="83">
        <f t="shared" si="47"/>
        <v>0</v>
      </c>
      <c r="H102" s="83">
        <f t="shared" si="47"/>
        <v>0</v>
      </c>
      <c r="I102" s="84">
        <f t="shared" si="47"/>
        <v>0</v>
      </c>
      <c r="J102" s="84">
        <f t="shared" si="47"/>
        <v>1.225041376351675</v>
      </c>
      <c r="K102" s="84">
        <f t="shared" si="47"/>
        <v>0</v>
      </c>
      <c r="L102" s="84">
        <f t="shared" si="47"/>
        <v>0</v>
      </c>
      <c r="M102" s="84">
        <f t="shared" si="47"/>
        <v>0.18889704078651948</v>
      </c>
      <c r="N102" s="84">
        <f t="shared" si="47"/>
        <v>0.15698786285137808</v>
      </c>
      <c r="O102" s="84">
        <f t="shared" si="47"/>
        <v>0</v>
      </c>
      <c r="P102" s="84">
        <f t="shared" si="47"/>
        <v>0.12882126858420728</v>
      </c>
      <c r="Q102" s="84">
        <f t="shared" si="47"/>
        <v>0</v>
      </c>
      <c r="R102" s="84">
        <f t="shared" si="47"/>
        <v>0</v>
      </c>
      <c r="S102" s="84">
        <f t="shared" si="47"/>
        <v>0.46632077655053955</v>
      </c>
      <c r="T102" s="84">
        <f t="shared" si="47"/>
        <v>0</v>
      </c>
      <c r="U102" s="84">
        <f t="shared" si="48"/>
        <v>0</v>
      </c>
      <c r="V102" s="84">
        <f t="shared" si="48"/>
        <v>0</v>
      </c>
      <c r="W102" s="84">
        <f>SIS064_F_Medziaguzaliav4Elektrosenergi5</f>
        <v>0</v>
      </c>
      <c r="X102" s="84">
        <f>SUM(SIS062_F_Medziaguzaliav4Geriamojovande1,SIS063_F_Medziaguzaliav4Geriamojovande1,SIS065_F_Medziaguzaliav4Geriamojovande1)</f>
        <v>0</v>
      </c>
      <c r="Y102" s="84">
        <f>SUM(SIS062_F_Medziaguzaliav4Paslaugaproduk8,SIS063_F_Medziaguzaliav4Paslaugaproduk8,SIS065_F_Medziaguzaliav4Paslaugaproduk8)</f>
        <v>0</v>
      </c>
      <c r="Z102" s="84">
        <f>SIS064_F_Medziaguzaliav4Elektrosenergi6</f>
        <v>0</v>
      </c>
      <c r="AA102" s="84">
        <f>SUM(SIS062_F_Medziaguzaliav4Konkurencinesi1,SIS063_F_Medziaguzaliav4Konkurencinesi1,SIS065_F_Medziaguzaliav4Konkurencinesi1,)</f>
        <v>0</v>
      </c>
      <c r="AB102" s="84">
        <f>SUM(SIS062_F_Medziaguzaliav4Paslaugaproduk9,SIS063_F_Medziaguzaliav4Paslaugaproduk9,SIS065_F_Medziaguzaliav4Paslaugaproduk9)</f>
        <v>4.3730805364955633E-2</v>
      </c>
      <c r="AC102" s="85">
        <v>4.0002008695107252</v>
      </c>
      <c r="AD102" s="86">
        <v>0</v>
      </c>
      <c r="AE102" s="86">
        <v>0</v>
      </c>
      <c r="AF102" s="86">
        <v>0</v>
      </c>
      <c r="AG102" s="87">
        <v>0</v>
      </c>
      <c r="AH102" s="87">
        <v>1.225041376351675</v>
      </c>
      <c r="AI102" s="87">
        <v>0</v>
      </c>
      <c r="AJ102" s="87">
        <v>0</v>
      </c>
      <c r="AK102" s="87">
        <v>0.18889704078651948</v>
      </c>
      <c r="AL102" s="87">
        <v>0.15698786285137808</v>
      </c>
      <c r="AM102" s="87">
        <v>0</v>
      </c>
      <c r="AN102" s="87">
        <v>0.12882126858420728</v>
      </c>
      <c r="AO102" s="87">
        <v>0</v>
      </c>
      <c r="AP102" s="87">
        <v>0</v>
      </c>
      <c r="AQ102" s="87">
        <v>0.46632077655053955</v>
      </c>
      <c r="AR102" s="87">
        <v>0</v>
      </c>
      <c r="AS102" s="87">
        <v>0</v>
      </c>
      <c r="AT102" s="87">
        <v>0</v>
      </c>
      <c r="AU102" s="88">
        <v>0</v>
      </c>
      <c r="AV102" s="85">
        <v>0</v>
      </c>
      <c r="AW102" s="86">
        <v>0</v>
      </c>
      <c r="AX102" s="86">
        <v>0</v>
      </c>
      <c r="AY102" s="86">
        <v>0</v>
      </c>
      <c r="AZ102" s="87"/>
      <c r="BA102" s="87"/>
      <c r="BB102" s="87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8"/>
      <c r="BO102" s="85"/>
      <c r="BP102" s="86"/>
      <c r="BQ102" s="86"/>
      <c r="BR102" s="86"/>
      <c r="BS102" s="87"/>
      <c r="BT102" s="87"/>
      <c r="BU102" s="87"/>
      <c r="BV102" s="87"/>
      <c r="BW102" s="87"/>
      <c r="BX102" s="87"/>
      <c r="BY102" s="87"/>
      <c r="BZ102" s="87"/>
      <c r="CA102" s="87"/>
      <c r="CB102" s="87"/>
      <c r="CC102" s="87"/>
      <c r="CD102" s="87"/>
      <c r="CE102" s="87"/>
      <c r="CF102" s="87"/>
      <c r="CG102" s="88"/>
      <c r="CH102" s="85"/>
      <c r="CI102" s="86"/>
      <c r="CJ102" s="86"/>
      <c r="CK102" s="86"/>
      <c r="CL102" s="87"/>
      <c r="CM102" s="87"/>
      <c r="CN102" s="87"/>
      <c r="CO102" s="87"/>
      <c r="CP102" s="87"/>
      <c r="CQ102" s="87"/>
      <c r="CR102" s="87"/>
      <c r="CS102" s="87"/>
      <c r="CT102" s="87"/>
      <c r="CU102" s="87"/>
      <c r="CV102" s="87"/>
      <c r="CW102" s="87"/>
      <c r="CX102" s="87"/>
      <c r="CY102" s="87"/>
      <c r="CZ102" s="88"/>
      <c r="DA102" s="85"/>
      <c r="DB102" s="86"/>
      <c r="DC102" s="86"/>
      <c r="DD102" s="86"/>
      <c r="DE102" s="87"/>
      <c r="DF102" s="87"/>
      <c r="DG102" s="87"/>
      <c r="DH102" s="87"/>
      <c r="DI102" s="87"/>
      <c r="DJ102" s="87"/>
      <c r="DK102" s="87"/>
      <c r="DL102" s="87"/>
      <c r="DM102" s="87"/>
      <c r="DN102" s="87"/>
      <c r="DO102" s="87"/>
      <c r="DP102" s="87"/>
      <c r="DQ102" s="87"/>
      <c r="DR102" s="87"/>
      <c r="DS102" s="88"/>
      <c r="DT102" s="85"/>
      <c r="DU102" s="86"/>
      <c r="DV102" s="86"/>
      <c r="DW102" s="86"/>
      <c r="DX102" s="87"/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7"/>
      <c r="EJ102" s="87"/>
      <c r="EK102" s="87"/>
      <c r="EL102" s="88"/>
      <c r="EM102" s="85"/>
      <c r="EN102" s="86"/>
      <c r="EO102" s="86"/>
      <c r="EP102" s="86"/>
      <c r="EQ102" s="87"/>
      <c r="ER102" s="87"/>
      <c r="ES102" s="87"/>
      <c r="ET102" s="87"/>
      <c r="EU102" s="87"/>
      <c r="EV102" s="87"/>
      <c r="EW102" s="87"/>
      <c r="EX102" s="87"/>
      <c r="EY102" s="87"/>
      <c r="EZ102" s="87"/>
      <c r="FA102" s="87"/>
      <c r="FB102" s="87"/>
      <c r="FC102" s="87"/>
      <c r="FD102" s="87"/>
      <c r="FE102" s="89"/>
    </row>
    <row r="103" spans="2:161" s="6" customFormat="1" ht="13.2">
      <c r="B103" s="79" t="s">
        <v>189</v>
      </c>
      <c r="C103" s="103" t="s">
        <v>190</v>
      </c>
      <c r="D103" s="81">
        <f t="shared" si="46"/>
        <v>7959.34</v>
      </c>
      <c r="E103" s="82">
        <f t="shared" si="47"/>
        <v>0</v>
      </c>
      <c r="F103" s="83">
        <f t="shared" si="47"/>
        <v>0</v>
      </c>
      <c r="G103" s="83">
        <f t="shared" si="47"/>
        <v>0</v>
      </c>
      <c r="H103" s="83">
        <f t="shared" si="47"/>
        <v>0</v>
      </c>
      <c r="I103" s="84">
        <f t="shared" si="47"/>
        <v>0</v>
      </c>
      <c r="J103" s="84">
        <f t="shared" si="47"/>
        <v>0</v>
      </c>
      <c r="K103" s="84">
        <f t="shared" si="47"/>
        <v>0</v>
      </c>
      <c r="L103" s="84">
        <f t="shared" si="47"/>
        <v>0</v>
      </c>
      <c r="M103" s="84">
        <f t="shared" si="47"/>
        <v>0</v>
      </c>
      <c r="N103" s="84">
        <f t="shared" si="47"/>
        <v>7959.34</v>
      </c>
      <c r="O103" s="84">
        <f t="shared" si="47"/>
        <v>0</v>
      </c>
      <c r="P103" s="84">
        <f t="shared" si="47"/>
        <v>0</v>
      </c>
      <c r="Q103" s="84">
        <f t="shared" si="47"/>
        <v>0</v>
      </c>
      <c r="R103" s="84">
        <f t="shared" si="47"/>
        <v>0</v>
      </c>
      <c r="S103" s="84">
        <f t="shared" si="47"/>
        <v>0</v>
      </c>
      <c r="T103" s="84">
        <f t="shared" si="47"/>
        <v>0</v>
      </c>
      <c r="U103" s="84">
        <f t="shared" si="48"/>
        <v>0</v>
      </c>
      <c r="V103" s="84">
        <f t="shared" si="48"/>
        <v>0</v>
      </c>
      <c r="W103" s="84">
        <f>SIS064_F_Medziaguzaliav5Elektrosenergi5</f>
        <v>0</v>
      </c>
      <c r="X103" s="84">
        <f>SUM(SIS062_F_Medziaguzaliav5Geriamojovande1,SIS063_F_Medziaguzaliav5Geriamojovande1,SIS065_F_Medziaguzaliav5Geriamojovande1)</f>
        <v>0</v>
      </c>
      <c r="Y103" s="84">
        <f>SUM(SIS062_F_Medziaguzaliav5Paslaugaproduk8,SIS063_F_Medziaguzaliav5Paslaugaproduk8,SIS065_F_Medziaguzaliav5Paslaugaproduk8)</f>
        <v>0</v>
      </c>
      <c r="Z103" s="84">
        <f>SIS064_F_Medziaguzaliav5Elektrosenergi6</f>
        <v>0</v>
      </c>
      <c r="AA103" s="84">
        <f>SUM(SIS062_F_Medziaguzaliav5Konkurencinesi1,SIS063_F_Medziaguzaliav5Konkurencinesi1,SIS065_F_Medziaguzaliav5Konkurencinesi1,)</f>
        <v>0</v>
      </c>
      <c r="AB103" s="84">
        <f>SUM(SIS062_F_Medziaguzaliav5Paslaugaproduk9,SIS063_F_Medziaguzaliav5Paslaugaproduk9,SIS065_F_Medziaguzaliav5Paslaugaproduk9)</f>
        <v>0</v>
      </c>
      <c r="AC103" s="85">
        <v>0</v>
      </c>
      <c r="AD103" s="86">
        <v>0</v>
      </c>
      <c r="AE103" s="86">
        <v>0</v>
      </c>
      <c r="AF103" s="86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</v>
      </c>
      <c r="AL103" s="87">
        <v>7959.34</v>
      </c>
      <c r="AM103" s="87">
        <v>0</v>
      </c>
      <c r="AN103" s="87">
        <v>0</v>
      </c>
      <c r="AO103" s="87">
        <v>0</v>
      </c>
      <c r="AP103" s="87">
        <v>0</v>
      </c>
      <c r="AQ103" s="87">
        <v>0</v>
      </c>
      <c r="AR103" s="87">
        <v>0</v>
      </c>
      <c r="AS103" s="87">
        <v>0</v>
      </c>
      <c r="AT103" s="87">
        <v>0</v>
      </c>
      <c r="AU103" s="88">
        <v>0</v>
      </c>
      <c r="AV103" s="85">
        <v>0</v>
      </c>
      <c r="AW103" s="86">
        <v>0</v>
      </c>
      <c r="AX103" s="86">
        <v>0</v>
      </c>
      <c r="AY103" s="86">
        <v>0</v>
      </c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8"/>
      <c r="BO103" s="85"/>
      <c r="BP103" s="86"/>
      <c r="BQ103" s="86"/>
      <c r="BR103" s="86"/>
      <c r="BS103" s="87"/>
      <c r="BT103" s="87"/>
      <c r="BU103" s="87"/>
      <c r="BV103" s="87"/>
      <c r="BW103" s="87"/>
      <c r="BX103" s="87"/>
      <c r="BY103" s="87"/>
      <c r="BZ103" s="87"/>
      <c r="CA103" s="87"/>
      <c r="CB103" s="87"/>
      <c r="CC103" s="87"/>
      <c r="CD103" s="87"/>
      <c r="CE103" s="87"/>
      <c r="CF103" s="87"/>
      <c r="CG103" s="88"/>
      <c r="CH103" s="85"/>
      <c r="CI103" s="86"/>
      <c r="CJ103" s="86"/>
      <c r="CK103" s="86"/>
      <c r="CL103" s="87"/>
      <c r="CM103" s="87"/>
      <c r="CN103" s="87"/>
      <c r="CO103" s="87"/>
      <c r="CP103" s="87"/>
      <c r="CQ103" s="87"/>
      <c r="CR103" s="87"/>
      <c r="CS103" s="87"/>
      <c r="CT103" s="87"/>
      <c r="CU103" s="87"/>
      <c r="CV103" s="87"/>
      <c r="CW103" s="87"/>
      <c r="CX103" s="87"/>
      <c r="CY103" s="87"/>
      <c r="CZ103" s="88"/>
      <c r="DA103" s="85"/>
      <c r="DB103" s="86"/>
      <c r="DC103" s="86"/>
      <c r="DD103" s="86"/>
      <c r="DE103" s="87"/>
      <c r="DF103" s="87"/>
      <c r="DG103" s="87"/>
      <c r="DH103" s="87"/>
      <c r="DI103" s="87"/>
      <c r="DJ103" s="87"/>
      <c r="DK103" s="87"/>
      <c r="DL103" s="87"/>
      <c r="DM103" s="87"/>
      <c r="DN103" s="87"/>
      <c r="DO103" s="87"/>
      <c r="DP103" s="87"/>
      <c r="DQ103" s="87"/>
      <c r="DR103" s="87"/>
      <c r="DS103" s="88"/>
      <c r="DT103" s="85"/>
      <c r="DU103" s="86"/>
      <c r="DV103" s="86"/>
      <c r="DW103" s="86"/>
      <c r="DX103" s="87"/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8"/>
      <c r="EM103" s="85"/>
      <c r="EN103" s="86"/>
      <c r="EO103" s="86"/>
      <c r="EP103" s="86"/>
      <c r="EQ103" s="87"/>
      <c r="ER103" s="87"/>
      <c r="ES103" s="87"/>
      <c r="ET103" s="87"/>
      <c r="EU103" s="87"/>
      <c r="EV103" s="87"/>
      <c r="EW103" s="87"/>
      <c r="EX103" s="87"/>
      <c r="EY103" s="87"/>
      <c r="EZ103" s="87"/>
      <c r="FA103" s="87"/>
      <c r="FB103" s="87"/>
      <c r="FC103" s="87"/>
      <c r="FD103" s="87"/>
      <c r="FE103" s="89"/>
    </row>
    <row r="104" spans="2:161" s="6" customFormat="1" ht="13.2">
      <c r="B104" s="79" t="s">
        <v>191</v>
      </c>
      <c r="C104" s="103" t="s">
        <v>192</v>
      </c>
      <c r="D104" s="81">
        <f t="shared" si="46"/>
        <v>8705.0400000000009</v>
      </c>
      <c r="E104" s="82">
        <f t="shared" si="47"/>
        <v>0</v>
      </c>
      <c r="F104" s="83">
        <f t="shared" si="47"/>
        <v>0</v>
      </c>
      <c r="G104" s="83">
        <f t="shared" si="47"/>
        <v>0</v>
      </c>
      <c r="H104" s="83">
        <f t="shared" si="47"/>
        <v>0</v>
      </c>
      <c r="I104" s="84">
        <f t="shared" si="47"/>
        <v>0</v>
      </c>
      <c r="J104" s="84">
        <f t="shared" si="47"/>
        <v>8705.0400000000009</v>
      </c>
      <c r="K104" s="84">
        <f t="shared" si="47"/>
        <v>0</v>
      </c>
      <c r="L104" s="84">
        <f t="shared" si="47"/>
        <v>0</v>
      </c>
      <c r="M104" s="84">
        <f t="shared" si="47"/>
        <v>0</v>
      </c>
      <c r="N104" s="84">
        <f t="shared" si="47"/>
        <v>0</v>
      </c>
      <c r="O104" s="84">
        <f t="shared" si="47"/>
        <v>0</v>
      </c>
      <c r="P104" s="84">
        <f t="shared" si="47"/>
        <v>0</v>
      </c>
      <c r="Q104" s="84">
        <f t="shared" si="47"/>
        <v>0</v>
      </c>
      <c r="R104" s="84">
        <f t="shared" si="47"/>
        <v>0</v>
      </c>
      <c r="S104" s="84">
        <f t="shared" si="47"/>
        <v>0</v>
      </c>
      <c r="T104" s="84">
        <f t="shared" si="47"/>
        <v>0</v>
      </c>
      <c r="U104" s="84">
        <f t="shared" si="48"/>
        <v>0</v>
      </c>
      <c r="V104" s="84">
        <f t="shared" si="48"/>
        <v>0</v>
      </c>
      <c r="W104" s="84">
        <f>SIS064_F_Atsiskaitomuju1Elektrosenergi5</f>
        <v>0</v>
      </c>
      <c r="X104" s="84">
        <f>SUM(SIS062_F_Atsiskaitomuju1Geriamojovande1,SIS063_F_Atsiskaitomuju1Geriamojovande1,SIS065_F_Atsiskaitomuju1Geriamojovande1)</f>
        <v>0</v>
      </c>
      <c r="Y104" s="84">
        <f>SUM(SIS062_F_Atsiskaitomuju1Paslaugaproduk8,SIS063_F_Atsiskaitomuju1Paslaugaproduk8,SIS065_F_Atsiskaitomuju1Paslaugaproduk8)</f>
        <v>0</v>
      </c>
      <c r="Z104" s="84">
        <f>SIS064_F_Atsiskaitomuju1Elektrosenergi6</f>
        <v>0</v>
      </c>
      <c r="AA104" s="84">
        <f>SUM(SIS062_F_Atsiskaitomuju1Konkurencinesi1,SIS063_F_Atsiskaitomuju1Konkurencinesi1,SIS065_F_Atsiskaitomuju1Konkurencinesi1,)</f>
        <v>0</v>
      </c>
      <c r="AB104" s="84">
        <f>SUM(SIS062_F_Atsiskaitomuju1Paslaugaproduk9,SIS063_F_Atsiskaitomuju1Paslaugaproduk9,SIS065_F_Atsiskaitomuju1Paslaugaproduk9)</f>
        <v>0</v>
      </c>
      <c r="AC104" s="85">
        <v>0</v>
      </c>
      <c r="AD104" s="86">
        <v>0</v>
      </c>
      <c r="AE104" s="86">
        <v>0</v>
      </c>
      <c r="AF104" s="86">
        <v>0</v>
      </c>
      <c r="AG104" s="87">
        <v>0</v>
      </c>
      <c r="AH104" s="87">
        <v>8705.0400000000009</v>
      </c>
      <c r="AI104" s="87">
        <v>0</v>
      </c>
      <c r="AJ104" s="87">
        <v>0</v>
      </c>
      <c r="AK104" s="87">
        <v>0</v>
      </c>
      <c r="AL104" s="87">
        <v>0</v>
      </c>
      <c r="AM104" s="87">
        <v>0</v>
      </c>
      <c r="AN104" s="87">
        <v>0</v>
      </c>
      <c r="AO104" s="87">
        <v>0</v>
      </c>
      <c r="AP104" s="87">
        <v>0</v>
      </c>
      <c r="AQ104" s="87">
        <v>0</v>
      </c>
      <c r="AR104" s="87">
        <v>0</v>
      </c>
      <c r="AS104" s="87">
        <v>0</v>
      </c>
      <c r="AT104" s="87">
        <v>0</v>
      </c>
      <c r="AU104" s="88">
        <v>0</v>
      </c>
      <c r="AV104" s="85">
        <v>0</v>
      </c>
      <c r="AW104" s="86">
        <v>0</v>
      </c>
      <c r="AX104" s="86">
        <v>0</v>
      </c>
      <c r="AY104" s="86">
        <v>0</v>
      </c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8"/>
      <c r="BO104" s="85"/>
      <c r="BP104" s="86"/>
      <c r="BQ104" s="86"/>
      <c r="BR104" s="86"/>
      <c r="BS104" s="87"/>
      <c r="BT104" s="87"/>
      <c r="BU104" s="87"/>
      <c r="BV104" s="87"/>
      <c r="BW104" s="87"/>
      <c r="BX104" s="87"/>
      <c r="BY104" s="87"/>
      <c r="BZ104" s="87"/>
      <c r="CA104" s="87"/>
      <c r="CB104" s="87"/>
      <c r="CC104" s="87"/>
      <c r="CD104" s="87"/>
      <c r="CE104" s="87"/>
      <c r="CF104" s="87"/>
      <c r="CG104" s="88"/>
      <c r="CH104" s="85"/>
      <c r="CI104" s="86"/>
      <c r="CJ104" s="86"/>
      <c r="CK104" s="86"/>
      <c r="CL104" s="87"/>
      <c r="CM104" s="87"/>
      <c r="CN104" s="87"/>
      <c r="CO104" s="87"/>
      <c r="CP104" s="87"/>
      <c r="CQ104" s="87"/>
      <c r="CR104" s="87"/>
      <c r="CS104" s="87"/>
      <c r="CT104" s="87"/>
      <c r="CU104" s="87"/>
      <c r="CV104" s="87"/>
      <c r="CW104" s="87"/>
      <c r="CX104" s="87"/>
      <c r="CY104" s="87"/>
      <c r="CZ104" s="88"/>
      <c r="DA104" s="85"/>
      <c r="DB104" s="86"/>
      <c r="DC104" s="86"/>
      <c r="DD104" s="86"/>
      <c r="DE104" s="87"/>
      <c r="DF104" s="87"/>
      <c r="DG104" s="87"/>
      <c r="DH104" s="87"/>
      <c r="DI104" s="87"/>
      <c r="DJ104" s="87"/>
      <c r="DK104" s="87"/>
      <c r="DL104" s="87"/>
      <c r="DM104" s="87"/>
      <c r="DN104" s="87"/>
      <c r="DO104" s="87"/>
      <c r="DP104" s="87"/>
      <c r="DQ104" s="87"/>
      <c r="DR104" s="87"/>
      <c r="DS104" s="88"/>
      <c r="DT104" s="85"/>
      <c r="DU104" s="86"/>
      <c r="DV104" s="86"/>
      <c r="DW104" s="86"/>
      <c r="DX104" s="87"/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7"/>
      <c r="EJ104" s="87"/>
      <c r="EK104" s="87"/>
      <c r="EL104" s="88"/>
      <c r="EM104" s="85"/>
      <c r="EN104" s="86"/>
      <c r="EO104" s="86"/>
      <c r="EP104" s="86"/>
      <c r="EQ104" s="87"/>
      <c r="ER104" s="87"/>
      <c r="ES104" s="87"/>
      <c r="ET104" s="87"/>
      <c r="EU104" s="87"/>
      <c r="EV104" s="87"/>
      <c r="EW104" s="87"/>
      <c r="EX104" s="87"/>
      <c r="EY104" s="87"/>
      <c r="EZ104" s="87"/>
      <c r="FA104" s="87"/>
      <c r="FB104" s="87"/>
      <c r="FC104" s="87"/>
      <c r="FD104" s="87"/>
      <c r="FE104" s="89"/>
    </row>
    <row r="105" spans="2:161" s="6" customFormat="1" ht="13.2">
      <c r="B105" s="108" t="s">
        <v>193</v>
      </c>
      <c r="C105" s="110" t="s">
        <v>194</v>
      </c>
      <c r="D105" s="81">
        <f t="shared" si="46"/>
        <v>0</v>
      </c>
      <c r="E105" s="82">
        <f t="shared" si="47"/>
        <v>0</v>
      </c>
      <c r="F105" s="83">
        <f t="shared" si="47"/>
        <v>0</v>
      </c>
      <c r="G105" s="83">
        <f t="shared" si="47"/>
        <v>0</v>
      </c>
      <c r="H105" s="83">
        <f t="shared" si="47"/>
        <v>0</v>
      </c>
      <c r="I105" s="84">
        <f t="shared" si="47"/>
        <v>0</v>
      </c>
      <c r="J105" s="84">
        <f t="shared" si="47"/>
        <v>0</v>
      </c>
      <c r="K105" s="84">
        <f t="shared" si="47"/>
        <v>0</v>
      </c>
      <c r="L105" s="84">
        <f t="shared" si="47"/>
        <v>0</v>
      </c>
      <c r="M105" s="84">
        <f t="shared" si="47"/>
        <v>0</v>
      </c>
      <c r="N105" s="84">
        <f t="shared" si="47"/>
        <v>0</v>
      </c>
      <c r="O105" s="84">
        <f t="shared" si="47"/>
        <v>0</v>
      </c>
      <c r="P105" s="84">
        <f t="shared" si="47"/>
        <v>0</v>
      </c>
      <c r="Q105" s="84">
        <f t="shared" si="47"/>
        <v>0</v>
      </c>
      <c r="R105" s="84">
        <f t="shared" si="47"/>
        <v>0</v>
      </c>
      <c r="S105" s="84">
        <f t="shared" si="47"/>
        <v>0</v>
      </c>
      <c r="T105" s="84">
        <f t="shared" si="47"/>
        <v>0</v>
      </c>
      <c r="U105" s="84">
        <f t="shared" si="48"/>
        <v>0</v>
      </c>
      <c r="V105" s="84">
        <f t="shared" si="48"/>
        <v>0</v>
      </c>
      <c r="W105" s="84">
        <f>SIS064_F_Nuotolinesduom1Elektrosenergi5</f>
        <v>0</v>
      </c>
      <c r="X105" s="84">
        <f>SUM(SIS062_F_Nuotolinesduom1Geriamojovande1,SIS063_F_Nuotolinesduom1Geriamojovande1,SIS065_F_Nuotolinesduom1Geriamojovande1)</f>
        <v>0</v>
      </c>
      <c r="Y105" s="84">
        <f>SUM(SIS062_F_Nuotolinesduom1Paslaugaproduk8,SIS063_F_Nuotolinesduom1Paslaugaproduk8,SIS065_F_Nuotolinesduom1Paslaugaproduk8)</f>
        <v>0</v>
      </c>
      <c r="Z105" s="84">
        <f>SIS064_F_Nuotolinesduom1Elektrosenergi6</f>
        <v>0</v>
      </c>
      <c r="AA105" s="84">
        <f>SUM(SIS062_F_Nuotolinesduom1Konkurencinesi1,SIS063_F_Nuotolinesduom1Konkurencinesi1,SIS065_F_Nuotolinesduom1Konkurencinesi1,)</f>
        <v>0</v>
      </c>
      <c r="AB105" s="84">
        <f>SUM(SIS062_F_Nuotolinesduom1Paslaugaproduk9,SIS063_F_Nuotolinesduom1Paslaugaproduk9,SIS065_F_Nuotolinesduom1Paslaugaproduk9)</f>
        <v>0</v>
      </c>
      <c r="AC105" s="85">
        <v>0</v>
      </c>
      <c r="AD105" s="86">
        <v>0</v>
      </c>
      <c r="AE105" s="86">
        <v>0</v>
      </c>
      <c r="AF105" s="86">
        <v>0</v>
      </c>
      <c r="AG105" s="87">
        <v>0</v>
      </c>
      <c r="AH105" s="87">
        <v>0</v>
      </c>
      <c r="AI105" s="87">
        <v>0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8">
        <v>0</v>
      </c>
      <c r="AV105" s="85">
        <v>0</v>
      </c>
      <c r="AW105" s="86">
        <v>0</v>
      </c>
      <c r="AX105" s="86">
        <v>0</v>
      </c>
      <c r="AY105" s="86">
        <v>0</v>
      </c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8"/>
      <c r="BO105" s="85"/>
      <c r="BP105" s="86"/>
      <c r="BQ105" s="86"/>
      <c r="BR105" s="86"/>
      <c r="BS105" s="87"/>
      <c r="BT105" s="87"/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8"/>
      <c r="CH105" s="85"/>
      <c r="CI105" s="86"/>
      <c r="CJ105" s="86"/>
      <c r="CK105" s="86"/>
      <c r="CL105" s="87"/>
      <c r="CM105" s="87"/>
      <c r="CN105" s="87"/>
      <c r="CO105" s="87"/>
      <c r="CP105" s="87"/>
      <c r="CQ105" s="87"/>
      <c r="CR105" s="87"/>
      <c r="CS105" s="87"/>
      <c r="CT105" s="87"/>
      <c r="CU105" s="87"/>
      <c r="CV105" s="87"/>
      <c r="CW105" s="87"/>
      <c r="CX105" s="87"/>
      <c r="CY105" s="87"/>
      <c r="CZ105" s="88"/>
      <c r="DA105" s="85"/>
      <c r="DB105" s="86"/>
      <c r="DC105" s="86"/>
      <c r="DD105" s="86"/>
      <c r="DE105" s="87"/>
      <c r="DF105" s="87"/>
      <c r="DG105" s="87"/>
      <c r="DH105" s="87"/>
      <c r="DI105" s="87"/>
      <c r="DJ105" s="87"/>
      <c r="DK105" s="87"/>
      <c r="DL105" s="87"/>
      <c r="DM105" s="87"/>
      <c r="DN105" s="87"/>
      <c r="DO105" s="87"/>
      <c r="DP105" s="87"/>
      <c r="DQ105" s="87"/>
      <c r="DR105" s="87"/>
      <c r="DS105" s="88"/>
      <c r="DT105" s="85"/>
      <c r="DU105" s="86"/>
      <c r="DV105" s="86"/>
      <c r="DW105" s="86"/>
      <c r="DX105" s="87"/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8"/>
      <c r="EM105" s="85"/>
      <c r="EN105" s="86"/>
      <c r="EO105" s="86"/>
      <c r="EP105" s="86"/>
      <c r="EQ105" s="87"/>
      <c r="ER105" s="87"/>
      <c r="ES105" s="87"/>
      <c r="ET105" s="87"/>
      <c r="EU105" s="87"/>
      <c r="EV105" s="87"/>
      <c r="EW105" s="87"/>
      <c r="EX105" s="87"/>
      <c r="EY105" s="87"/>
      <c r="EZ105" s="87"/>
      <c r="FA105" s="87"/>
      <c r="FB105" s="87"/>
      <c r="FC105" s="87"/>
      <c r="FD105" s="87"/>
      <c r="FE105" s="89"/>
    </row>
    <row r="106" spans="2:161" s="6" customFormat="1" ht="13.2">
      <c r="B106" s="108" t="s">
        <v>195</v>
      </c>
      <c r="C106" s="110" t="s">
        <v>196</v>
      </c>
      <c r="D106" s="81">
        <f t="shared" si="46"/>
        <v>991.73</v>
      </c>
      <c r="E106" s="82">
        <f t="shared" si="47"/>
        <v>0</v>
      </c>
      <c r="F106" s="83">
        <f t="shared" si="47"/>
        <v>0</v>
      </c>
      <c r="G106" s="83">
        <f t="shared" si="47"/>
        <v>0</v>
      </c>
      <c r="H106" s="83">
        <f t="shared" si="47"/>
        <v>0</v>
      </c>
      <c r="I106" s="84">
        <f t="shared" si="47"/>
        <v>0</v>
      </c>
      <c r="J106" s="84">
        <f t="shared" si="47"/>
        <v>0</v>
      </c>
      <c r="K106" s="84">
        <f t="shared" si="47"/>
        <v>0</v>
      </c>
      <c r="L106" s="84">
        <f t="shared" si="47"/>
        <v>0</v>
      </c>
      <c r="M106" s="84">
        <f t="shared" si="47"/>
        <v>0</v>
      </c>
      <c r="N106" s="84">
        <f t="shared" si="47"/>
        <v>0</v>
      </c>
      <c r="O106" s="84">
        <f t="shared" si="47"/>
        <v>0</v>
      </c>
      <c r="P106" s="84">
        <f t="shared" si="47"/>
        <v>0</v>
      </c>
      <c r="Q106" s="84">
        <f t="shared" si="47"/>
        <v>0</v>
      </c>
      <c r="R106" s="84">
        <f t="shared" si="47"/>
        <v>0</v>
      </c>
      <c r="S106" s="84">
        <f t="shared" si="47"/>
        <v>991.73</v>
      </c>
      <c r="T106" s="84">
        <f t="shared" si="47"/>
        <v>0</v>
      </c>
      <c r="U106" s="84">
        <f t="shared" si="48"/>
        <v>0</v>
      </c>
      <c r="V106" s="84">
        <f t="shared" si="48"/>
        <v>0</v>
      </c>
      <c r="W106" s="84">
        <f>SIS064_F_Patalpuneadmin1Elektrosenergi5</f>
        <v>0</v>
      </c>
      <c r="X106" s="84">
        <f>SUM(SIS062_F_Patalpuneadmin1Geriamojovande1,SIS063_F_Patalpuneadmin1Geriamojovande1,SIS065_F_Patalpuneadmin1Geriamojovande1)</f>
        <v>0</v>
      </c>
      <c r="Y106" s="84">
        <f>SUM(SIS062_F_Patalpuneadmin1Paslaugaproduk8,SIS063_F_Patalpuneadmin1Paslaugaproduk8,SIS065_F_Patalpuneadmin1Paslaugaproduk8)</f>
        <v>0</v>
      </c>
      <c r="Z106" s="84">
        <f>SIS064_F_Patalpuneadmin1Elektrosenergi6</f>
        <v>0</v>
      </c>
      <c r="AA106" s="84">
        <f>SUM(SIS062_F_Patalpuneadmin1Konkurencinesi1,SIS063_F_Patalpuneadmin1Konkurencinesi1,SIS065_F_Patalpuneadmin1Konkurencinesi1,)</f>
        <v>0</v>
      </c>
      <c r="AB106" s="84">
        <f>SUM(SIS062_F_Patalpuneadmin1Paslaugaproduk9,SIS063_F_Patalpuneadmin1Paslaugaproduk9,SIS065_F_Patalpuneadmin1Paslaugaproduk9)</f>
        <v>0</v>
      </c>
      <c r="AC106" s="85">
        <v>0</v>
      </c>
      <c r="AD106" s="86">
        <v>0</v>
      </c>
      <c r="AE106" s="86">
        <v>0</v>
      </c>
      <c r="AF106" s="86">
        <v>0</v>
      </c>
      <c r="AG106" s="87">
        <v>0</v>
      </c>
      <c r="AH106" s="87">
        <v>0</v>
      </c>
      <c r="AI106" s="87">
        <v>0</v>
      </c>
      <c r="AJ106" s="87">
        <v>0</v>
      </c>
      <c r="AK106" s="87">
        <v>0</v>
      </c>
      <c r="AL106" s="87">
        <v>0</v>
      </c>
      <c r="AM106" s="87">
        <v>0</v>
      </c>
      <c r="AN106" s="87">
        <v>0</v>
      </c>
      <c r="AO106" s="87">
        <v>0</v>
      </c>
      <c r="AP106" s="87">
        <v>0</v>
      </c>
      <c r="AQ106" s="87">
        <v>991.73</v>
      </c>
      <c r="AR106" s="87">
        <v>0</v>
      </c>
      <c r="AS106" s="87">
        <v>0</v>
      </c>
      <c r="AT106" s="87">
        <v>0</v>
      </c>
      <c r="AU106" s="88">
        <v>0</v>
      </c>
      <c r="AV106" s="85">
        <v>0</v>
      </c>
      <c r="AW106" s="86">
        <v>0</v>
      </c>
      <c r="AX106" s="86">
        <v>0</v>
      </c>
      <c r="AY106" s="86">
        <v>0</v>
      </c>
      <c r="AZ106" s="87"/>
      <c r="BA106" s="87"/>
      <c r="BB106" s="87"/>
      <c r="BC106" s="87"/>
      <c r="BD106" s="87"/>
      <c r="BE106" s="87"/>
      <c r="BF106" s="87"/>
      <c r="BG106" s="87"/>
      <c r="BH106" s="87"/>
      <c r="BI106" s="87"/>
      <c r="BJ106" s="87"/>
      <c r="BK106" s="87"/>
      <c r="BL106" s="87"/>
      <c r="BM106" s="87"/>
      <c r="BN106" s="88"/>
      <c r="BO106" s="85"/>
      <c r="BP106" s="86"/>
      <c r="BQ106" s="86"/>
      <c r="BR106" s="86"/>
      <c r="BS106" s="87"/>
      <c r="BT106" s="87"/>
      <c r="BU106" s="87"/>
      <c r="BV106" s="87"/>
      <c r="BW106" s="87"/>
      <c r="BX106" s="87"/>
      <c r="BY106" s="87"/>
      <c r="BZ106" s="87"/>
      <c r="CA106" s="87"/>
      <c r="CB106" s="87"/>
      <c r="CC106" s="87"/>
      <c r="CD106" s="87"/>
      <c r="CE106" s="87"/>
      <c r="CF106" s="87"/>
      <c r="CG106" s="88"/>
      <c r="CH106" s="85"/>
      <c r="CI106" s="86"/>
      <c r="CJ106" s="86"/>
      <c r="CK106" s="86"/>
      <c r="CL106" s="87"/>
      <c r="CM106" s="87"/>
      <c r="CN106" s="87"/>
      <c r="CO106" s="87"/>
      <c r="CP106" s="87"/>
      <c r="CQ106" s="87"/>
      <c r="CR106" s="87"/>
      <c r="CS106" s="87"/>
      <c r="CT106" s="87"/>
      <c r="CU106" s="87"/>
      <c r="CV106" s="87"/>
      <c r="CW106" s="87"/>
      <c r="CX106" s="87"/>
      <c r="CY106" s="87"/>
      <c r="CZ106" s="88"/>
      <c r="DA106" s="85"/>
      <c r="DB106" s="86"/>
      <c r="DC106" s="86"/>
      <c r="DD106" s="86"/>
      <c r="DE106" s="87"/>
      <c r="DF106" s="87"/>
      <c r="DG106" s="87"/>
      <c r="DH106" s="87"/>
      <c r="DI106" s="87"/>
      <c r="DJ106" s="87"/>
      <c r="DK106" s="87"/>
      <c r="DL106" s="87"/>
      <c r="DM106" s="87"/>
      <c r="DN106" s="87"/>
      <c r="DO106" s="87"/>
      <c r="DP106" s="87"/>
      <c r="DQ106" s="87"/>
      <c r="DR106" s="87"/>
      <c r="DS106" s="88"/>
      <c r="DT106" s="85"/>
      <c r="DU106" s="86"/>
      <c r="DV106" s="86"/>
      <c r="DW106" s="86"/>
      <c r="DX106" s="87"/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7"/>
      <c r="EJ106" s="87"/>
      <c r="EK106" s="87"/>
      <c r="EL106" s="88"/>
      <c r="EM106" s="85"/>
      <c r="EN106" s="86"/>
      <c r="EO106" s="86"/>
      <c r="EP106" s="86"/>
      <c r="EQ106" s="87"/>
      <c r="ER106" s="87"/>
      <c r="ES106" s="87"/>
      <c r="ET106" s="87"/>
      <c r="EU106" s="87"/>
      <c r="EV106" s="87"/>
      <c r="EW106" s="87"/>
      <c r="EX106" s="87"/>
      <c r="EY106" s="87"/>
      <c r="EZ106" s="87"/>
      <c r="FA106" s="87"/>
      <c r="FB106" s="87"/>
      <c r="FC106" s="87"/>
      <c r="FD106" s="87"/>
      <c r="FE106" s="89"/>
    </row>
    <row r="107" spans="2:161" s="6" customFormat="1" ht="13.2">
      <c r="B107" s="114" t="s">
        <v>197</v>
      </c>
      <c r="C107" s="110" t="s">
        <v>198</v>
      </c>
      <c r="D107" s="81">
        <f t="shared" si="46"/>
        <v>0</v>
      </c>
      <c r="E107" s="82">
        <f t="shared" si="47"/>
        <v>0</v>
      </c>
      <c r="F107" s="83">
        <f t="shared" si="47"/>
        <v>0</v>
      </c>
      <c r="G107" s="83">
        <f t="shared" si="47"/>
        <v>0</v>
      </c>
      <c r="H107" s="83">
        <f t="shared" si="47"/>
        <v>0</v>
      </c>
      <c r="I107" s="84">
        <f t="shared" si="47"/>
        <v>0</v>
      </c>
      <c r="J107" s="84">
        <f t="shared" si="47"/>
        <v>0</v>
      </c>
      <c r="K107" s="84">
        <f t="shared" si="47"/>
        <v>0</v>
      </c>
      <c r="L107" s="84">
        <f t="shared" si="47"/>
        <v>0</v>
      </c>
      <c r="M107" s="84">
        <f t="shared" si="47"/>
        <v>0</v>
      </c>
      <c r="N107" s="84">
        <f t="shared" si="47"/>
        <v>0</v>
      </c>
      <c r="O107" s="84">
        <f t="shared" si="47"/>
        <v>0</v>
      </c>
      <c r="P107" s="84">
        <f t="shared" si="47"/>
        <v>0</v>
      </c>
      <c r="Q107" s="84">
        <f t="shared" si="47"/>
        <v>0</v>
      </c>
      <c r="R107" s="84">
        <f t="shared" si="47"/>
        <v>0</v>
      </c>
      <c r="S107" s="84">
        <f t="shared" si="47"/>
        <v>0</v>
      </c>
      <c r="T107" s="84">
        <f t="shared" si="47"/>
        <v>0</v>
      </c>
      <c r="U107" s="84">
        <f t="shared" si="48"/>
        <v>0</v>
      </c>
      <c r="V107" s="84">
        <f t="shared" si="48"/>
        <v>0</v>
      </c>
      <c r="W107" s="84">
        <f>SIS064_F_Rezerviniokuro1Elektrosenergi5</f>
        <v>0</v>
      </c>
      <c r="X107" s="84">
        <f>SUM(SIS062_F_Rezerviniokuro1Geriamojovande1,SIS063_F_Rezerviniokuro1Geriamojovande1,SIS065_F_Rezerviniokuro1Geriamojovande1)</f>
        <v>0</v>
      </c>
      <c r="Y107" s="84">
        <f>SUM(SIS062_F_Rezerviniokuro1Paslaugaproduk8,SIS063_F_Rezerviniokuro1Paslaugaproduk8,SIS065_F_Rezerviniokuro1Paslaugaproduk8)</f>
        <v>0</v>
      </c>
      <c r="Z107" s="84">
        <f>SIS064_F_Rezerviniokuro1Elektrosenergi6</f>
        <v>0</v>
      </c>
      <c r="AA107" s="84">
        <f>SUM(SIS062_F_Rezerviniokuro1Konkurencinesi1,SIS063_F_Rezerviniokuro1Konkurencinesi1,SIS065_F_Rezerviniokuro1Konkurencinesi1,)</f>
        <v>0</v>
      </c>
      <c r="AB107" s="84">
        <f>SUM(SIS062_F_Rezerviniokuro1Paslaugaproduk9,SIS063_F_Rezerviniokuro1Paslaugaproduk9,SIS065_F_Rezerviniokuro1Paslaugaproduk9)</f>
        <v>0</v>
      </c>
      <c r="AC107" s="85">
        <v>0</v>
      </c>
      <c r="AD107" s="86">
        <v>0</v>
      </c>
      <c r="AE107" s="86">
        <v>0</v>
      </c>
      <c r="AF107" s="86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0</v>
      </c>
      <c r="AN107" s="87">
        <v>0</v>
      </c>
      <c r="AO107" s="87">
        <v>0</v>
      </c>
      <c r="AP107" s="87">
        <v>0</v>
      </c>
      <c r="AQ107" s="87">
        <v>0</v>
      </c>
      <c r="AR107" s="87">
        <v>0</v>
      </c>
      <c r="AS107" s="87">
        <v>0</v>
      </c>
      <c r="AT107" s="87">
        <v>0</v>
      </c>
      <c r="AU107" s="88">
        <v>0</v>
      </c>
      <c r="AV107" s="85">
        <v>0</v>
      </c>
      <c r="AW107" s="86">
        <v>0</v>
      </c>
      <c r="AX107" s="86">
        <v>0</v>
      </c>
      <c r="AY107" s="86">
        <v>0</v>
      </c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8"/>
      <c r="BO107" s="85"/>
      <c r="BP107" s="86"/>
      <c r="BQ107" s="86"/>
      <c r="BR107" s="86"/>
      <c r="BS107" s="87"/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8"/>
      <c r="CH107" s="85"/>
      <c r="CI107" s="86"/>
      <c r="CJ107" s="86"/>
      <c r="CK107" s="86"/>
      <c r="CL107" s="87"/>
      <c r="CM107" s="87"/>
      <c r="CN107" s="87"/>
      <c r="CO107" s="87"/>
      <c r="CP107" s="87"/>
      <c r="CQ107" s="87"/>
      <c r="CR107" s="87"/>
      <c r="CS107" s="87"/>
      <c r="CT107" s="87"/>
      <c r="CU107" s="87"/>
      <c r="CV107" s="87"/>
      <c r="CW107" s="87"/>
      <c r="CX107" s="87"/>
      <c r="CY107" s="87"/>
      <c r="CZ107" s="88"/>
      <c r="DA107" s="85"/>
      <c r="DB107" s="86"/>
      <c r="DC107" s="86"/>
      <c r="DD107" s="86"/>
      <c r="DE107" s="87"/>
      <c r="DF107" s="87"/>
      <c r="DG107" s="87"/>
      <c r="DH107" s="87"/>
      <c r="DI107" s="87"/>
      <c r="DJ107" s="87"/>
      <c r="DK107" s="87"/>
      <c r="DL107" s="87"/>
      <c r="DM107" s="87"/>
      <c r="DN107" s="87"/>
      <c r="DO107" s="87"/>
      <c r="DP107" s="87"/>
      <c r="DQ107" s="87"/>
      <c r="DR107" s="87"/>
      <c r="DS107" s="88"/>
      <c r="DT107" s="85"/>
      <c r="DU107" s="86"/>
      <c r="DV107" s="86"/>
      <c r="DW107" s="86"/>
      <c r="DX107" s="87"/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7"/>
      <c r="EJ107" s="87"/>
      <c r="EK107" s="87"/>
      <c r="EL107" s="88"/>
      <c r="EM107" s="85"/>
      <c r="EN107" s="86"/>
      <c r="EO107" s="86"/>
      <c r="EP107" s="86"/>
      <c r="EQ107" s="87"/>
      <c r="ER107" s="87"/>
      <c r="ES107" s="87"/>
      <c r="ET107" s="87"/>
      <c r="EU107" s="87"/>
      <c r="EV107" s="87"/>
      <c r="EW107" s="87"/>
      <c r="EX107" s="87"/>
      <c r="EY107" s="87"/>
      <c r="EZ107" s="87"/>
      <c r="FA107" s="87"/>
      <c r="FB107" s="87"/>
      <c r="FC107" s="87"/>
      <c r="FD107" s="87"/>
      <c r="FE107" s="89"/>
    </row>
    <row r="108" spans="2:161" s="6" customFormat="1" ht="13.2">
      <c r="B108" s="108" t="s">
        <v>199</v>
      </c>
      <c r="C108" s="110" t="s">
        <v>200</v>
      </c>
      <c r="D108" s="81">
        <f t="shared" si="46"/>
        <v>1627.99</v>
      </c>
      <c r="E108" s="82">
        <f t="shared" si="47"/>
        <v>1443.7730945877963</v>
      </c>
      <c r="F108" s="83">
        <f t="shared" si="47"/>
        <v>0</v>
      </c>
      <c r="G108" s="83">
        <f t="shared" si="47"/>
        <v>0</v>
      </c>
      <c r="H108" s="83">
        <f t="shared" si="47"/>
        <v>0</v>
      </c>
      <c r="I108" s="84">
        <f t="shared" si="47"/>
        <v>0</v>
      </c>
      <c r="J108" s="84">
        <f t="shared" si="47"/>
        <v>3.945382854594766</v>
      </c>
      <c r="K108" s="84">
        <f t="shared" si="47"/>
        <v>0</v>
      </c>
      <c r="L108" s="84">
        <f t="shared" si="47"/>
        <v>0</v>
      </c>
      <c r="M108" s="84">
        <f t="shared" si="47"/>
        <v>0.60836406050408842</v>
      </c>
      <c r="N108" s="84">
        <f t="shared" si="47"/>
        <v>0.50559698180798096</v>
      </c>
      <c r="O108" s="84">
        <f t="shared" si="47"/>
        <v>0</v>
      </c>
      <c r="P108" s="84">
        <f t="shared" si="47"/>
        <v>0.41488331267055484</v>
      </c>
      <c r="Q108" s="84">
        <f t="shared" si="47"/>
        <v>0</v>
      </c>
      <c r="R108" s="84">
        <f t="shared" si="47"/>
        <v>0</v>
      </c>
      <c r="S108" s="84">
        <f t="shared" si="47"/>
        <v>178.60183824976019</v>
      </c>
      <c r="T108" s="84">
        <f t="shared" si="47"/>
        <v>0</v>
      </c>
      <c r="U108" s="84">
        <f t="shared" si="48"/>
        <v>0</v>
      </c>
      <c r="V108" s="84">
        <f t="shared" si="48"/>
        <v>0</v>
      </c>
      <c r="W108" s="84">
        <f>SIS064_F_Mazavercioinve1Elektrosenergi5</f>
        <v>0</v>
      </c>
      <c r="X108" s="84">
        <f>SUM(SIS062_F_Mazavercioinve1Geriamojovande1,SIS063_F_Mazavercioinve1Geriamojovande1,SIS065_F_Mazavercioinve1Geriamojovande1)</f>
        <v>0</v>
      </c>
      <c r="Y108" s="84">
        <f>SUM(SIS062_F_Mazavercioinve1Paslaugaproduk8,SIS063_F_Mazavercioinve1Paslaugaproduk8,SIS065_F_Mazavercioinve1Paslaugaproduk8)</f>
        <v>0</v>
      </c>
      <c r="Z108" s="84">
        <f>SIS064_F_Mazavercioinve1Elektrosenergi6</f>
        <v>0</v>
      </c>
      <c r="AA108" s="84">
        <f>SUM(SIS062_F_Mazavercioinve1Konkurencinesi1,SIS063_F_Mazavercioinve1Konkurencinesi1,SIS065_F_Mazavercioinve1Konkurencinesi1,)</f>
        <v>0</v>
      </c>
      <c r="AB108" s="84">
        <f>SUM(SIS062_F_Mazavercioinve1Paslaugaproduk9,SIS063_F_Mazavercioinve1Paslaugaproduk9,SIS065_F_Mazavercioinve1Paslaugaproduk9)</f>
        <v>0.14083995286620171</v>
      </c>
      <c r="AC108" s="85">
        <v>1443.7730945877963</v>
      </c>
      <c r="AD108" s="86">
        <v>0</v>
      </c>
      <c r="AE108" s="86">
        <v>0</v>
      </c>
      <c r="AF108" s="86">
        <v>0</v>
      </c>
      <c r="AG108" s="87">
        <v>0</v>
      </c>
      <c r="AH108" s="87">
        <v>3.945382854594766</v>
      </c>
      <c r="AI108" s="87">
        <v>0</v>
      </c>
      <c r="AJ108" s="87">
        <v>0</v>
      </c>
      <c r="AK108" s="87">
        <v>0.60836406050408842</v>
      </c>
      <c r="AL108" s="87">
        <v>0.50559698180798096</v>
      </c>
      <c r="AM108" s="87">
        <v>0</v>
      </c>
      <c r="AN108" s="87">
        <v>0.41488331267055484</v>
      </c>
      <c r="AO108" s="87">
        <v>0</v>
      </c>
      <c r="AP108" s="87">
        <v>0</v>
      </c>
      <c r="AQ108" s="87">
        <v>178.60183824976019</v>
      </c>
      <c r="AR108" s="87">
        <v>0</v>
      </c>
      <c r="AS108" s="87">
        <v>0</v>
      </c>
      <c r="AT108" s="87">
        <v>0</v>
      </c>
      <c r="AU108" s="88">
        <v>0</v>
      </c>
      <c r="AV108" s="85">
        <v>0</v>
      </c>
      <c r="AW108" s="86">
        <v>0</v>
      </c>
      <c r="AX108" s="86">
        <v>0</v>
      </c>
      <c r="AY108" s="86">
        <v>0</v>
      </c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8"/>
      <c r="BO108" s="85"/>
      <c r="BP108" s="86"/>
      <c r="BQ108" s="86"/>
      <c r="BR108" s="86"/>
      <c r="BS108" s="87"/>
      <c r="BT108" s="87"/>
      <c r="BU108" s="87"/>
      <c r="BV108" s="87"/>
      <c r="BW108" s="87"/>
      <c r="BX108" s="87"/>
      <c r="BY108" s="87"/>
      <c r="BZ108" s="87"/>
      <c r="CA108" s="87"/>
      <c r="CB108" s="87"/>
      <c r="CC108" s="87"/>
      <c r="CD108" s="87"/>
      <c r="CE108" s="87"/>
      <c r="CF108" s="87"/>
      <c r="CG108" s="88"/>
      <c r="CH108" s="85"/>
      <c r="CI108" s="86"/>
      <c r="CJ108" s="86"/>
      <c r="CK108" s="86"/>
      <c r="CL108" s="87"/>
      <c r="CM108" s="87"/>
      <c r="CN108" s="87"/>
      <c r="CO108" s="87"/>
      <c r="CP108" s="87"/>
      <c r="CQ108" s="87"/>
      <c r="CR108" s="87"/>
      <c r="CS108" s="87"/>
      <c r="CT108" s="87"/>
      <c r="CU108" s="87"/>
      <c r="CV108" s="87"/>
      <c r="CW108" s="87"/>
      <c r="CX108" s="87"/>
      <c r="CY108" s="87"/>
      <c r="CZ108" s="88"/>
      <c r="DA108" s="85"/>
      <c r="DB108" s="86"/>
      <c r="DC108" s="86"/>
      <c r="DD108" s="86"/>
      <c r="DE108" s="87"/>
      <c r="DF108" s="87"/>
      <c r="DG108" s="87"/>
      <c r="DH108" s="87"/>
      <c r="DI108" s="87"/>
      <c r="DJ108" s="87"/>
      <c r="DK108" s="87"/>
      <c r="DL108" s="87"/>
      <c r="DM108" s="87"/>
      <c r="DN108" s="87"/>
      <c r="DO108" s="87"/>
      <c r="DP108" s="87"/>
      <c r="DQ108" s="87"/>
      <c r="DR108" s="87"/>
      <c r="DS108" s="88"/>
      <c r="DT108" s="85"/>
      <c r="DU108" s="86"/>
      <c r="DV108" s="86"/>
      <c r="DW108" s="86"/>
      <c r="DX108" s="87"/>
      <c r="DY108" s="87"/>
      <c r="DZ108" s="87"/>
      <c r="EA108" s="87"/>
      <c r="EB108" s="87"/>
      <c r="EC108" s="87"/>
      <c r="ED108" s="87"/>
      <c r="EE108" s="87"/>
      <c r="EF108" s="87"/>
      <c r="EG108" s="87"/>
      <c r="EH108" s="87"/>
      <c r="EI108" s="87"/>
      <c r="EJ108" s="87"/>
      <c r="EK108" s="87"/>
      <c r="EL108" s="88"/>
      <c r="EM108" s="85"/>
      <c r="EN108" s="86"/>
      <c r="EO108" s="86"/>
      <c r="EP108" s="86"/>
      <c r="EQ108" s="87"/>
      <c r="ER108" s="87"/>
      <c r="ES108" s="87"/>
      <c r="ET108" s="87"/>
      <c r="EU108" s="87"/>
      <c r="EV108" s="87"/>
      <c r="EW108" s="87"/>
      <c r="EX108" s="87"/>
      <c r="EY108" s="87"/>
      <c r="EZ108" s="87"/>
      <c r="FA108" s="87"/>
      <c r="FB108" s="87"/>
      <c r="FC108" s="87"/>
      <c r="FD108" s="87"/>
      <c r="FE108" s="89"/>
    </row>
    <row r="109" spans="2:161" s="6" customFormat="1" ht="26.4">
      <c r="B109" s="108" t="s">
        <v>201</v>
      </c>
      <c r="C109" s="110" t="s">
        <v>202</v>
      </c>
      <c r="D109" s="81">
        <f t="shared" si="46"/>
        <v>0</v>
      </c>
      <c r="E109" s="82">
        <f t="shared" si="47"/>
        <v>0</v>
      </c>
      <c r="F109" s="83">
        <f t="shared" si="47"/>
        <v>0</v>
      </c>
      <c r="G109" s="83">
        <f t="shared" si="47"/>
        <v>0</v>
      </c>
      <c r="H109" s="83">
        <f t="shared" si="47"/>
        <v>0</v>
      </c>
      <c r="I109" s="84">
        <f t="shared" si="47"/>
        <v>0</v>
      </c>
      <c r="J109" s="84">
        <f t="shared" si="47"/>
        <v>0</v>
      </c>
      <c r="K109" s="84">
        <f t="shared" si="47"/>
        <v>0</v>
      </c>
      <c r="L109" s="84">
        <f t="shared" si="47"/>
        <v>0</v>
      </c>
      <c r="M109" s="84">
        <f t="shared" si="47"/>
        <v>0</v>
      </c>
      <c r="N109" s="84">
        <f t="shared" si="47"/>
        <v>0</v>
      </c>
      <c r="O109" s="84">
        <f t="shared" si="47"/>
        <v>0</v>
      </c>
      <c r="P109" s="84">
        <f t="shared" si="47"/>
        <v>0</v>
      </c>
      <c r="Q109" s="84">
        <f t="shared" si="47"/>
        <v>0</v>
      </c>
      <c r="R109" s="84">
        <f t="shared" si="47"/>
        <v>0</v>
      </c>
      <c r="S109" s="84">
        <f t="shared" si="47"/>
        <v>0</v>
      </c>
      <c r="T109" s="84">
        <f t="shared" ref="T109:V119" si="49">SUM(AR109,BK109,CD109,CW109,DP109,EI109,FB109)</f>
        <v>0</v>
      </c>
      <c r="U109" s="84">
        <f t="shared" si="48"/>
        <v>0</v>
      </c>
      <c r="V109" s="84">
        <f t="shared" si="48"/>
        <v>0</v>
      </c>
      <c r="W109" s="84">
        <f>SIS064_F_Turtonuomosnes1Elektrosenergi5</f>
        <v>0</v>
      </c>
      <c r="X109" s="84">
        <f>SUM(SIS062_F_Turtonuomosnes1Geriamojovande1,SIS063_F_Turtonuomosnes1Geriamojovande1,SIS065_F_Turtonuomosnes1Geriamojovande1)</f>
        <v>0</v>
      </c>
      <c r="Y109" s="84">
        <f>SUM(SIS062_F_Turtonuomosnes1Paslaugaproduk8,SIS063_F_Turtonuomosnes1Paslaugaproduk8,SIS065_F_Turtonuomosnes1Paslaugaproduk8)</f>
        <v>0</v>
      </c>
      <c r="Z109" s="84">
        <f>SIS064_F_Turtonuomosnes1Elektrosenergi6</f>
        <v>0</v>
      </c>
      <c r="AA109" s="84">
        <f>SUM(SIS062_F_Turtonuomosnes1Konkurencinesi1,SIS063_F_Turtonuomosnes1Konkurencinesi1,SIS065_F_Turtonuomosnes1Konkurencinesi1,)</f>
        <v>0</v>
      </c>
      <c r="AB109" s="84">
        <f>SUM(SIS062_F_Turtonuomosnes1Paslaugaproduk9,SIS063_F_Turtonuomosnes1Paslaugaproduk9,SIS065_F_Turtonuomosnes1Paslaugaproduk9)</f>
        <v>0</v>
      </c>
      <c r="AC109" s="85">
        <v>0</v>
      </c>
      <c r="AD109" s="86">
        <v>0</v>
      </c>
      <c r="AE109" s="86">
        <v>0</v>
      </c>
      <c r="AF109" s="86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8">
        <v>0</v>
      </c>
      <c r="AV109" s="85">
        <v>0</v>
      </c>
      <c r="AW109" s="86">
        <v>0</v>
      </c>
      <c r="AX109" s="86">
        <v>0</v>
      </c>
      <c r="AY109" s="86">
        <v>0</v>
      </c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8"/>
      <c r="BO109" s="85"/>
      <c r="BP109" s="86"/>
      <c r="BQ109" s="86"/>
      <c r="BR109" s="86"/>
      <c r="BS109" s="87"/>
      <c r="BT109" s="87"/>
      <c r="BU109" s="87"/>
      <c r="BV109" s="87"/>
      <c r="BW109" s="87"/>
      <c r="BX109" s="87"/>
      <c r="BY109" s="87"/>
      <c r="BZ109" s="87"/>
      <c r="CA109" s="87"/>
      <c r="CB109" s="87"/>
      <c r="CC109" s="87"/>
      <c r="CD109" s="87"/>
      <c r="CE109" s="87"/>
      <c r="CF109" s="87"/>
      <c r="CG109" s="88"/>
      <c r="CH109" s="85"/>
      <c r="CI109" s="86"/>
      <c r="CJ109" s="86"/>
      <c r="CK109" s="86"/>
      <c r="CL109" s="87"/>
      <c r="CM109" s="87"/>
      <c r="CN109" s="87"/>
      <c r="CO109" s="87"/>
      <c r="CP109" s="87"/>
      <c r="CQ109" s="87"/>
      <c r="CR109" s="87"/>
      <c r="CS109" s="87"/>
      <c r="CT109" s="87"/>
      <c r="CU109" s="87"/>
      <c r="CV109" s="87"/>
      <c r="CW109" s="87"/>
      <c r="CX109" s="87"/>
      <c r="CY109" s="87"/>
      <c r="CZ109" s="88"/>
      <c r="DA109" s="85"/>
      <c r="DB109" s="86"/>
      <c r="DC109" s="86"/>
      <c r="DD109" s="86"/>
      <c r="DE109" s="87"/>
      <c r="DF109" s="87"/>
      <c r="DG109" s="87"/>
      <c r="DH109" s="87"/>
      <c r="DI109" s="87"/>
      <c r="DJ109" s="87"/>
      <c r="DK109" s="87"/>
      <c r="DL109" s="87"/>
      <c r="DM109" s="87"/>
      <c r="DN109" s="87"/>
      <c r="DO109" s="87"/>
      <c r="DP109" s="87"/>
      <c r="DQ109" s="87"/>
      <c r="DR109" s="87"/>
      <c r="DS109" s="88"/>
      <c r="DT109" s="85"/>
      <c r="DU109" s="86"/>
      <c r="DV109" s="86"/>
      <c r="DW109" s="86"/>
      <c r="DX109" s="87"/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7"/>
      <c r="EJ109" s="87"/>
      <c r="EK109" s="87"/>
      <c r="EL109" s="88"/>
      <c r="EM109" s="85"/>
      <c r="EN109" s="86"/>
      <c r="EO109" s="86"/>
      <c r="EP109" s="86"/>
      <c r="EQ109" s="87"/>
      <c r="ER109" s="87"/>
      <c r="ES109" s="87"/>
      <c r="ET109" s="87"/>
      <c r="EU109" s="87"/>
      <c r="EV109" s="87"/>
      <c r="EW109" s="87"/>
      <c r="EX109" s="87"/>
      <c r="EY109" s="87"/>
      <c r="EZ109" s="87"/>
      <c r="FA109" s="87"/>
      <c r="FB109" s="87"/>
      <c r="FC109" s="87"/>
      <c r="FD109" s="87"/>
      <c r="FE109" s="89"/>
    </row>
    <row r="110" spans="2:161" s="6" customFormat="1" ht="26.4">
      <c r="B110" s="108" t="s">
        <v>203</v>
      </c>
      <c r="C110" s="110" t="s">
        <v>204</v>
      </c>
      <c r="D110" s="81">
        <f t="shared" si="46"/>
        <v>1248.3399999999999</v>
      </c>
      <c r="E110" s="82">
        <f t="shared" ref="E110:S120" si="50">SUM(AC110,AV110,BO110,CH110,DA110,DT110,EM110)</f>
        <v>1118.27</v>
      </c>
      <c r="F110" s="83">
        <f t="shared" si="50"/>
        <v>0</v>
      </c>
      <c r="G110" s="83">
        <f t="shared" si="50"/>
        <v>0</v>
      </c>
      <c r="H110" s="83">
        <f t="shared" si="50"/>
        <v>0</v>
      </c>
      <c r="I110" s="84">
        <f t="shared" si="50"/>
        <v>0</v>
      </c>
      <c r="J110" s="84">
        <f t="shared" si="50"/>
        <v>0</v>
      </c>
      <c r="K110" s="84">
        <f t="shared" si="50"/>
        <v>0</v>
      </c>
      <c r="L110" s="84">
        <f t="shared" si="50"/>
        <v>0</v>
      </c>
      <c r="M110" s="84">
        <f t="shared" si="50"/>
        <v>0</v>
      </c>
      <c r="N110" s="84">
        <f t="shared" si="50"/>
        <v>0</v>
      </c>
      <c r="O110" s="84">
        <f t="shared" si="50"/>
        <v>0</v>
      </c>
      <c r="P110" s="84">
        <f t="shared" si="50"/>
        <v>0</v>
      </c>
      <c r="Q110" s="84">
        <f t="shared" si="50"/>
        <v>0</v>
      </c>
      <c r="R110" s="84">
        <f t="shared" si="50"/>
        <v>0</v>
      </c>
      <c r="S110" s="84">
        <f t="shared" si="50"/>
        <v>0</v>
      </c>
      <c r="T110" s="84">
        <f t="shared" si="49"/>
        <v>0</v>
      </c>
      <c r="U110" s="84">
        <f t="shared" si="49"/>
        <v>0</v>
      </c>
      <c r="V110" s="84">
        <f t="shared" si="49"/>
        <v>0</v>
      </c>
      <c r="W110" s="84">
        <f>SIS064_F_Komunaliniupas1Elektrosenergi5</f>
        <v>0</v>
      </c>
      <c r="X110" s="84">
        <f>SUM(SIS062_F_Komunaliniupas1Geriamojovande1,SIS063_F_Komunaliniupas1Geriamojovande1,SIS065_F_Komunaliniupas1Geriamojovande1)</f>
        <v>0</v>
      </c>
      <c r="Y110" s="84">
        <f>SUM(SIS062_F_Komunaliniupas1Paslaugaproduk8,SIS063_F_Komunaliniupas1Paslaugaproduk8,SIS065_F_Komunaliniupas1Paslaugaproduk8)</f>
        <v>0</v>
      </c>
      <c r="Z110" s="84">
        <f>SIS064_F_Komunaliniupas1Elektrosenergi6</f>
        <v>0</v>
      </c>
      <c r="AA110" s="84">
        <f>SUM(SIS062_F_Komunaliniupas1Konkurencinesi1,SIS063_F_Komunaliniupas1Konkurencinesi1,SIS065_F_Komunaliniupas1Konkurencinesi1,)</f>
        <v>0</v>
      </c>
      <c r="AB110" s="84">
        <f>SUM(SIS062_F_Komunaliniupas1Paslaugaproduk9,SIS063_F_Komunaliniupas1Paslaugaproduk9,SIS065_F_Komunaliniupas1Paslaugaproduk9)</f>
        <v>130.07</v>
      </c>
      <c r="AC110" s="85">
        <v>1118.27</v>
      </c>
      <c r="AD110" s="86">
        <v>0</v>
      </c>
      <c r="AE110" s="86">
        <v>0</v>
      </c>
      <c r="AF110" s="86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</v>
      </c>
      <c r="AM110" s="87">
        <v>0</v>
      </c>
      <c r="AN110" s="87">
        <v>0</v>
      </c>
      <c r="AO110" s="87">
        <v>0</v>
      </c>
      <c r="AP110" s="87">
        <v>0</v>
      </c>
      <c r="AQ110" s="87">
        <v>0</v>
      </c>
      <c r="AR110" s="87">
        <v>0</v>
      </c>
      <c r="AS110" s="87">
        <v>0</v>
      </c>
      <c r="AT110" s="87">
        <v>0</v>
      </c>
      <c r="AU110" s="88">
        <v>0</v>
      </c>
      <c r="AV110" s="85">
        <v>0</v>
      </c>
      <c r="AW110" s="86">
        <v>0</v>
      </c>
      <c r="AX110" s="86">
        <v>0</v>
      </c>
      <c r="AY110" s="86">
        <v>0</v>
      </c>
      <c r="AZ110" s="87"/>
      <c r="BA110" s="87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8"/>
      <c r="BO110" s="85"/>
      <c r="BP110" s="86"/>
      <c r="BQ110" s="86"/>
      <c r="BR110" s="86"/>
      <c r="BS110" s="87"/>
      <c r="BT110" s="87"/>
      <c r="BU110" s="87"/>
      <c r="BV110" s="87"/>
      <c r="BW110" s="87"/>
      <c r="BX110" s="87"/>
      <c r="BY110" s="87"/>
      <c r="BZ110" s="87"/>
      <c r="CA110" s="87"/>
      <c r="CB110" s="87"/>
      <c r="CC110" s="87"/>
      <c r="CD110" s="87"/>
      <c r="CE110" s="87"/>
      <c r="CF110" s="87"/>
      <c r="CG110" s="88"/>
      <c r="CH110" s="85"/>
      <c r="CI110" s="86"/>
      <c r="CJ110" s="86"/>
      <c r="CK110" s="86"/>
      <c r="CL110" s="87"/>
      <c r="CM110" s="87"/>
      <c r="CN110" s="87"/>
      <c r="CO110" s="87"/>
      <c r="CP110" s="87"/>
      <c r="CQ110" s="87"/>
      <c r="CR110" s="87"/>
      <c r="CS110" s="87"/>
      <c r="CT110" s="87"/>
      <c r="CU110" s="87"/>
      <c r="CV110" s="87"/>
      <c r="CW110" s="87"/>
      <c r="CX110" s="87"/>
      <c r="CY110" s="87"/>
      <c r="CZ110" s="88"/>
      <c r="DA110" s="85"/>
      <c r="DB110" s="86"/>
      <c r="DC110" s="86"/>
      <c r="DD110" s="86"/>
      <c r="DE110" s="87"/>
      <c r="DF110" s="87"/>
      <c r="DG110" s="87"/>
      <c r="DH110" s="87"/>
      <c r="DI110" s="87"/>
      <c r="DJ110" s="87"/>
      <c r="DK110" s="87"/>
      <c r="DL110" s="87"/>
      <c r="DM110" s="87"/>
      <c r="DN110" s="87"/>
      <c r="DO110" s="87"/>
      <c r="DP110" s="87"/>
      <c r="DQ110" s="87"/>
      <c r="DR110" s="87"/>
      <c r="DS110" s="88"/>
      <c r="DT110" s="85"/>
      <c r="DU110" s="86"/>
      <c r="DV110" s="86"/>
      <c r="DW110" s="86"/>
      <c r="DX110" s="87"/>
      <c r="DY110" s="87"/>
      <c r="DZ110" s="87"/>
      <c r="EA110" s="87"/>
      <c r="EB110" s="87"/>
      <c r="EC110" s="87"/>
      <c r="ED110" s="87"/>
      <c r="EE110" s="87"/>
      <c r="EF110" s="87"/>
      <c r="EG110" s="87"/>
      <c r="EH110" s="87"/>
      <c r="EI110" s="87"/>
      <c r="EJ110" s="87"/>
      <c r="EK110" s="87"/>
      <c r="EL110" s="88"/>
      <c r="EM110" s="85"/>
      <c r="EN110" s="86"/>
      <c r="EO110" s="86"/>
      <c r="EP110" s="86"/>
      <c r="EQ110" s="87"/>
      <c r="ER110" s="87"/>
      <c r="ES110" s="87"/>
      <c r="ET110" s="87"/>
      <c r="EU110" s="87"/>
      <c r="EV110" s="87"/>
      <c r="EW110" s="87"/>
      <c r="EX110" s="87"/>
      <c r="EY110" s="87"/>
      <c r="EZ110" s="87"/>
      <c r="FA110" s="87"/>
      <c r="FB110" s="87"/>
      <c r="FC110" s="87"/>
      <c r="FD110" s="87"/>
      <c r="FE110" s="89"/>
    </row>
    <row r="111" spans="2:161" s="6" customFormat="1" ht="13.2">
      <c r="B111" s="108" t="s">
        <v>205</v>
      </c>
      <c r="C111" s="110" t="s">
        <v>206</v>
      </c>
      <c r="D111" s="81">
        <f t="shared" si="46"/>
        <v>6807.2199999999993</v>
      </c>
      <c r="E111" s="82">
        <f t="shared" si="50"/>
        <v>3925.2515188672514</v>
      </c>
      <c r="F111" s="83">
        <f t="shared" si="50"/>
        <v>0</v>
      </c>
      <c r="G111" s="83">
        <f t="shared" si="50"/>
        <v>0</v>
      </c>
      <c r="H111" s="83">
        <f t="shared" si="50"/>
        <v>0</v>
      </c>
      <c r="I111" s="84">
        <f t="shared" si="50"/>
        <v>0</v>
      </c>
      <c r="J111" s="84">
        <f t="shared" si="50"/>
        <v>1347.6449096949202</v>
      </c>
      <c r="K111" s="84">
        <f t="shared" si="50"/>
        <v>0</v>
      </c>
      <c r="L111" s="84">
        <f t="shared" si="50"/>
        <v>0</v>
      </c>
      <c r="M111" s="84">
        <f t="shared" si="50"/>
        <v>4.6235668598310724</v>
      </c>
      <c r="N111" s="84">
        <f t="shared" si="50"/>
        <v>3.8425370617406549</v>
      </c>
      <c r="O111" s="84">
        <f t="shared" si="50"/>
        <v>0</v>
      </c>
      <c r="P111" s="84">
        <f t="shared" si="50"/>
        <v>14.153113176296216</v>
      </c>
      <c r="Q111" s="84">
        <f t="shared" si="50"/>
        <v>0</v>
      </c>
      <c r="R111" s="84">
        <f t="shared" si="50"/>
        <v>0</v>
      </c>
      <c r="S111" s="84">
        <f t="shared" si="50"/>
        <v>1510.6339706981776</v>
      </c>
      <c r="T111" s="84">
        <f t="shared" si="49"/>
        <v>0</v>
      </c>
      <c r="U111" s="84">
        <f t="shared" si="49"/>
        <v>0</v>
      </c>
      <c r="V111" s="84">
        <f t="shared" si="49"/>
        <v>0</v>
      </c>
      <c r="W111" s="84">
        <f>SIS064_F_Transportoprie2Elektrosenergi5</f>
        <v>0</v>
      </c>
      <c r="X111" s="84">
        <f>SUM(SIS062_F_Transportoprie2Geriamojovande1,SIS063_F_Transportoprie2Geriamojovande1,SIS065_F_Transportoprie2Geriamojovande1)</f>
        <v>0</v>
      </c>
      <c r="Y111" s="84">
        <f>SUM(SIS062_F_Transportoprie2Paslaugaproduk8,SIS063_F_Transportoprie2Paslaugaproduk8,SIS065_F_Transportoprie2Paslaugaproduk8)</f>
        <v>0</v>
      </c>
      <c r="Z111" s="84">
        <f>SIS064_F_Transportoprie2Elektrosenergi6</f>
        <v>0</v>
      </c>
      <c r="AA111" s="84">
        <f>SUM(SIS062_F_Transportoprie2Konkurencinesi1,SIS063_F_Transportoprie2Konkurencinesi1,SIS065_F_Transportoprie2Konkurencinesi1,)</f>
        <v>0</v>
      </c>
      <c r="AB111" s="84">
        <f>SUM(SIS062_F_Transportoprie2Paslaugaproduk9,SIS063_F_Transportoprie2Paslaugaproduk9,SIS065_F_Transportoprie2Paslaugaproduk9)</f>
        <v>1.0703836417831332</v>
      </c>
      <c r="AC111" s="85">
        <v>3925.2515188672514</v>
      </c>
      <c r="AD111" s="86">
        <v>0</v>
      </c>
      <c r="AE111" s="86">
        <v>0</v>
      </c>
      <c r="AF111" s="86">
        <v>0</v>
      </c>
      <c r="AG111" s="87">
        <v>0</v>
      </c>
      <c r="AH111" s="87">
        <v>1347.6449096949202</v>
      </c>
      <c r="AI111" s="87">
        <v>0</v>
      </c>
      <c r="AJ111" s="87">
        <v>0</v>
      </c>
      <c r="AK111" s="87">
        <v>4.6235668598310724</v>
      </c>
      <c r="AL111" s="87">
        <v>3.8425370617406549</v>
      </c>
      <c r="AM111" s="87">
        <v>0</v>
      </c>
      <c r="AN111" s="87">
        <v>14.153113176296216</v>
      </c>
      <c r="AO111" s="87">
        <v>0</v>
      </c>
      <c r="AP111" s="87">
        <v>0</v>
      </c>
      <c r="AQ111" s="87">
        <v>1510.6339706981776</v>
      </c>
      <c r="AR111" s="87">
        <v>0</v>
      </c>
      <c r="AS111" s="87">
        <v>0</v>
      </c>
      <c r="AT111" s="87">
        <v>0</v>
      </c>
      <c r="AU111" s="88">
        <v>0</v>
      </c>
      <c r="AV111" s="85">
        <v>0</v>
      </c>
      <c r="AW111" s="86">
        <v>0</v>
      </c>
      <c r="AX111" s="86">
        <v>0</v>
      </c>
      <c r="AY111" s="86">
        <v>0</v>
      </c>
      <c r="AZ111" s="87"/>
      <c r="BA111" s="87"/>
      <c r="BB111" s="87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8"/>
      <c r="BO111" s="85"/>
      <c r="BP111" s="86"/>
      <c r="BQ111" s="86"/>
      <c r="BR111" s="86"/>
      <c r="BS111" s="87"/>
      <c r="BT111" s="87"/>
      <c r="BU111" s="87"/>
      <c r="BV111" s="87"/>
      <c r="BW111" s="87"/>
      <c r="BX111" s="87"/>
      <c r="BY111" s="87"/>
      <c r="BZ111" s="87"/>
      <c r="CA111" s="87"/>
      <c r="CB111" s="87"/>
      <c r="CC111" s="87"/>
      <c r="CD111" s="87"/>
      <c r="CE111" s="87"/>
      <c r="CF111" s="87"/>
      <c r="CG111" s="88"/>
      <c r="CH111" s="85"/>
      <c r="CI111" s="86"/>
      <c r="CJ111" s="86"/>
      <c r="CK111" s="86"/>
      <c r="CL111" s="87"/>
      <c r="CM111" s="87"/>
      <c r="CN111" s="87"/>
      <c r="CO111" s="87"/>
      <c r="CP111" s="87"/>
      <c r="CQ111" s="87"/>
      <c r="CR111" s="87"/>
      <c r="CS111" s="87"/>
      <c r="CT111" s="87"/>
      <c r="CU111" s="87"/>
      <c r="CV111" s="87"/>
      <c r="CW111" s="87"/>
      <c r="CX111" s="87"/>
      <c r="CY111" s="87"/>
      <c r="CZ111" s="88"/>
      <c r="DA111" s="85"/>
      <c r="DB111" s="86"/>
      <c r="DC111" s="86"/>
      <c r="DD111" s="86"/>
      <c r="DE111" s="87"/>
      <c r="DF111" s="87"/>
      <c r="DG111" s="87"/>
      <c r="DH111" s="87"/>
      <c r="DI111" s="87"/>
      <c r="DJ111" s="87"/>
      <c r="DK111" s="87"/>
      <c r="DL111" s="87"/>
      <c r="DM111" s="87"/>
      <c r="DN111" s="87"/>
      <c r="DO111" s="87"/>
      <c r="DP111" s="87"/>
      <c r="DQ111" s="87"/>
      <c r="DR111" s="87"/>
      <c r="DS111" s="88"/>
      <c r="DT111" s="85"/>
      <c r="DU111" s="86"/>
      <c r="DV111" s="86"/>
      <c r="DW111" s="86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87"/>
      <c r="EL111" s="88"/>
      <c r="EM111" s="85"/>
      <c r="EN111" s="86"/>
      <c r="EO111" s="86"/>
      <c r="EP111" s="86"/>
      <c r="EQ111" s="87"/>
      <c r="ER111" s="87"/>
      <c r="ES111" s="87"/>
      <c r="ET111" s="87"/>
      <c r="EU111" s="87"/>
      <c r="EV111" s="87"/>
      <c r="EW111" s="87"/>
      <c r="EX111" s="87"/>
      <c r="EY111" s="87"/>
      <c r="EZ111" s="87"/>
      <c r="FA111" s="87"/>
      <c r="FB111" s="87"/>
      <c r="FC111" s="87"/>
      <c r="FD111" s="87"/>
      <c r="FE111" s="89"/>
    </row>
    <row r="112" spans="2:161" s="6" customFormat="1" ht="13.2">
      <c r="B112" s="108" t="s">
        <v>207</v>
      </c>
      <c r="C112" s="110" t="s">
        <v>208</v>
      </c>
      <c r="D112" s="81">
        <f t="shared" si="46"/>
        <v>21239.250000000004</v>
      </c>
      <c r="E112" s="82">
        <f t="shared" si="50"/>
        <v>15566.986800822684</v>
      </c>
      <c r="F112" s="83">
        <f t="shared" si="50"/>
        <v>0</v>
      </c>
      <c r="G112" s="83">
        <f t="shared" si="50"/>
        <v>0</v>
      </c>
      <c r="H112" s="83">
        <f t="shared" si="50"/>
        <v>0</v>
      </c>
      <c r="I112" s="84">
        <f t="shared" si="50"/>
        <v>0</v>
      </c>
      <c r="J112" s="84">
        <f t="shared" si="50"/>
        <v>4522.5940265741883</v>
      </c>
      <c r="K112" s="84">
        <f t="shared" si="50"/>
        <v>0</v>
      </c>
      <c r="L112" s="84">
        <f t="shared" si="50"/>
        <v>0</v>
      </c>
      <c r="M112" s="84">
        <f t="shared" si="50"/>
        <v>70.284908274097845</v>
      </c>
      <c r="N112" s="84">
        <f t="shared" si="50"/>
        <v>58.412124905257841</v>
      </c>
      <c r="O112" s="84">
        <f t="shared" si="50"/>
        <v>0</v>
      </c>
      <c r="P112" s="84">
        <f t="shared" si="50"/>
        <v>341.65188399614192</v>
      </c>
      <c r="Q112" s="84">
        <f t="shared" si="50"/>
        <v>0</v>
      </c>
      <c r="R112" s="84">
        <f t="shared" si="50"/>
        <v>0</v>
      </c>
      <c r="S112" s="84">
        <f t="shared" si="50"/>
        <v>663.04887483304469</v>
      </c>
      <c r="T112" s="84">
        <f t="shared" si="49"/>
        <v>0</v>
      </c>
      <c r="U112" s="84">
        <f t="shared" si="49"/>
        <v>0</v>
      </c>
      <c r="V112" s="84">
        <f t="shared" si="49"/>
        <v>0</v>
      </c>
      <c r="W112" s="84">
        <f>SIS064_F_Transportoprie3Elektrosenergi5</f>
        <v>0</v>
      </c>
      <c r="X112" s="84">
        <f>SUM(SIS062_F_Transportoprie3Geriamojovande1,SIS063_F_Transportoprie3Geriamojovande1,SIS065_F_Transportoprie3Geriamojovande1)</f>
        <v>0</v>
      </c>
      <c r="Y112" s="84">
        <f>SUM(SIS062_F_Transportoprie3Paslaugaproduk8,SIS063_F_Transportoprie3Paslaugaproduk8,SIS065_F_Transportoprie3Paslaugaproduk8)</f>
        <v>0</v>
      </c>
      <c r="Z112" s="84">
        <f>SIS064_F_Transportoprie3Elektrosenergi6</f>
        <v>0</v>
      </c>
      <c r="AA112" s="84">
        <f>SUM(SIS062_F_Transportoprie3Konkurencinesi1,SIS063_F_Transportoprie3Konkurencinesi1,SIS065_F_Transportoprie3Konkurencinesi1,)</f>
        <v>0</v>
      </c>
      <c r="AB112" s="84">
        <f>SUM(SIS062_F_Transportoprie3Paslaugaproduk9,SIS063_F_Transportoprie3Paslaugaproduk9,SIS065_F_Transportoprie3Paslaugaproduk9)</f>
        <v>16.27138059458515</v>
      </c>
      <c r="AC112" s="85">
        <v>15566.986800822684</v>
      </c>
      <c r="AD112" s="86">
        <v>0</v>
      </c>
      <c r="AE112" s="86">
        <v>0</v>
      </c>
      <c r="AF112" s="86">
        <v>0</v>
      </c>
      <c r="AG112" s="87">
        <v>0</v>
      </c>
      <c r="AH112" s="87">
        <v>4522.5940265741883</v>
      </c>
      <c r="AI112" s="87">
        <v>0</v>
      </c>
      <c r="AJ112" s="87">
        <v>0</v>
      </c>
      <c r="AK112" s="87">
        <v>70.284908274097845</v>
      </c>
      <c r="AL112" s="87">
        <v>58.412124905257841</v>
      </c>
      <c r="AM112" s="87">
        <v>0</v>
      </c>
      <c r="AN112" s="87">
        <v>341.65188399614192</v>
      </c>
      <c r="AO112" s="87">
        <v>0</v>
      </c>
      <c r="AP112" s="87">
        <v>0</v>
      </c>
      <c r="AQ112" s="87">
        <v>663.04887483304469</v>
      </c>
      <c r="AR112" s="87">
        <v>0</v>
      </c>
      <c r="AS112" s="87">
        <v>0</v>
      </c>
      <c r="AT112" s="87">
        <v>0</v>
      </c>
      <c r="AU112" s="88">
        <v>0</v>
      </c>
      <c r="AV112" s="85">
        <v>0</v>
      </c>
      <c r="AW112" s="86">
        <v>0</v>
      </c>
      <c r="AX112" s="86">
        <v>0</v>
      </c>
      <c r="AY112" s="86">
        <v>0</v>
      </c>
      <c r="AZ112" s="87"/>
      <c r="BA112" s="87"/>
      <c r="BB112" s="87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8"/>
      <c r="BO112" s="85"/>
      <c r="BP112" s="86"/>
      <c r="BQ112" s="86"/>
      <c r="BR112" s="86"/>
      <c r="BS112" s="87"/>
      <c r="BT112" s="87"/>
      <c r="BU112" s="87"/>
      <c r="BV112" s="87"/>
      <c r="BW112" s="87"/>
      <c r="BX112" s="87"/>
      <c r="BY112" s="87"/>
      <c r="BZ112" s="87"/>
      <c r="CA112" s="87"/>
      <c r="CB112" s="87"/>
      <c r="CC112" s="87"/>
      <c r="CD112" s="87"/>
      <c r="CE112" s="87"/>
      <c r="CF112" s="87"/>
      <c r="CG112" s="88"/>
      <c r="CH112" s="85"/>
      <c r="CI112" s="86"/>
      <c r="CJ112" s="86"/>
      <c r="CK112" s="86"/>
      <c r="CL112" s="87"/>
      <c r="CM112" s="87"/>
      <c r="CN112" s="87"/>
      <c r="CO112" s="87"/>
      <c r="CP112" s="87"/>
      <c r="CQ112" s="87"/>
      <c r="CR112" s="87"/>
      <c r="CS112" s="87"/>
      <c r="CT112" s="87"/>
      <c r="CU112" s="87"/>
      <c r="CV112" s="87"/>
      <c r="CW112" s="87"/>
      <c r="CX112" s="87"/>
      <c r="CY112" s="87"/>
      <c r="CZ112" s="88"/>
      <c r="DA112" s="85"/>
      <c r="DB112" s="86"/>
      <c r="DC112" s="86"/>
      <c r="DD112" s="86"/>
      <c r="DE112" s="87"/>
      <c r="DF112" s="87"/>
      <c r="DG112" s="87"/>
      <c r="DH112" s="87"/>
      <c r="DI112" s="87"/>
      <c r="DJ112" s="87"/>
      <c r="DK112" s="87"/>
      <c r="DL112" s="87"/>
      <c r="DM112" s="87"/>
      <c r="DN112" s="87"/>
      <c r="DO112" s="87"/>
      <c r="DP112" s="87"/>
      <c r="DQ112" s="87"/>
      <c r="DR112" s="87"/>
      <c r="DS112" s="88"/>
      <c r="DT112" s="85"/>
      <c r="DU112" s="86"/>
      <c r="DV112" s="86"/>
      <c r="DW112" s="86"/>
      <c r="DX112" s="87"/>
      <c r="DY112" s="87"/>
      <c r="DZ112" s="87"/>
      <c r="EA112" s="87"/>
      <c r="EB112" s="87"/>
      <c r="EC112" s="87"/>
      <c r="ED112" s="87"/>
      <c r="EE112" s="87"/>
      <c r="EF112" s="87"/>
      <c r="EG112" s="87"/>
      <c r="EH112" s="87"/>
      <c r="EI112" s="87"/>
      <c r="EJ112" s="87"/>
      <c r="EK112" s="87"/>
      <c r="EL112" s="88"/>
      <c r="EM112" s="85"/>
      <c r="EN112" s="86"/>
      <c r="EO112" s="86"/>
      <c r="EP112" s="86"/>
      <c r="EQ112" s="87"/>
      <c r="ER112" s="87"/>
      <c r="ES112" s="87"/>
      <c r="ET112" s="87"/>
      <c r="EU112" s="87"/>
      <c r="EV112" s="87"/>
      <c r="EW112" s="87"/>
      <c r="EX112" s="87"/>
      <c r="EY112" s="87"/>
      <c r="EZ112" s="87"/>
      <c r="FA112" s="87"/>
      <c r="FB112" s="87"/>
      <c r="FC112" s="87"/>
      <c r="FD112" s="87"/>
      <c r="FE112" s="89"/>
    </row>
    <row r="113" spans="2:161" s="6" customFormat="1" ht="13.2">
      <c r="B113" s="108" t="s">
        <v>209</v>
      </c>
      <c r="C113" s="110" t="s">
        <v>210</v>
      </c>
      <c r="D113" s="81">
        <f t="shared" si="46"/>
        <v>0</v>
      </c>
      <c r="E113" s="82">
        <f t="shared" si="50"/>
        <v>0</v>
      </c>
      <c r="F113" s="83">
        <f t="shared" si="50"/>
        <v>0</v>
      </c>
      <c r="G113" s="83">
        <f t="shared" si="50"/>
        <v>0</v>
      </c>
      <c r="H113" s="83">
        <f t="shared" si="50"/>
        <v>0</v>
      </c>
      <c r="I113" s="84">
        <f t="shared" si="50"/>
        <v>0</v>
      </c>
      <c r="J113" s="84">
        <f t="shared" si="50"/>
        <v>0</v>
      </c>
      <c r="K113" s="84">
        <f t="shared" si="50"/>
        <v>0</v>
      </c>
      <c r="L113" s="84">
        <f t="shared" si="50"/>
        <v>0</v>
      </c>
      <c r="M113" s="84">
        <f t="shared" si="50"/>
        <v>0</v>
      </c>
      <c r="N113" s="84">
        <f t="shared" si="50"/>
        <v>0</v>
      </c>
      <c r="O113" s="84">
        <f t="shared" si="50"/>
        <v>0</v>
      </c>
      <c r="P113" s="84">
        <f t="shared" si="50"/>
        <v>0</v>
      </c>
      <c r="Q113" s="84">
        <f t="shared" si="50"/>
        <v>0</v>
      </c>
      <c r="R113" s="84">
        <f t="shared" si="50"/>
        <v>0</v>
      </c>
      <c r="S113" s="84">
        <f t="shared" si="50"/>
        <v>0</v>
      </c>
      <c r="T113" s="84">
        <f t="shared" si="49"/>
        <v>0</v>
      </c>
      <c r="U113" s="84">
        <f t="shared" si="49"/>
        <v>0</v>
      </c>
      <c r="V113" s="84">
        <f t="shared" si="49"/>
        <v>0</v>
      </c>
      <c r="W113" s="84">
        <f>SIS064_F_Muitinesireksp1Elektrosenergi5</f>
        <v>0</v>
      </c>
      <c r="X113" s="84">
        <f>SUM(SIS062_F_Muitinesireksp1Geriamojovande1,SIS063_F_Muitinesireksp1Geriamojovande1,SIS065_F_Muitinesireksp1Geriamojovande1)</f>
        <v>0</v>
      </c>
      <c r="Y113" s="84">
        <f>SUM(SIS062_F_Muitinesireksp1Paslaugaproduk8,SIS063_F_Muitinesireksp1Paslaugaproduk8,SIS065_F_Muitinesireksp1Paslaugaproduk8)</f>
        <v>0</v>
      </c>
      <c r="Z113" s="84">
        <f>SIS064_F_Muitinesireksp1Elektrosenergi6</f>
        <v>0</v>
      </c>
      <c r="AA113" s="84">
        <f>SUM(SIS062_F_Muitinesireksp1Konkurencinesi1,SIS063_F_Muitinesireksp1Konkurencinesi1,SIS065_F_Muitinesireksp1Konkurencinesi1,)</f>
        <v>0</v>
      </c>
      <c r="AB113" s="84">
        <f>SUM(SIS062_F_Muitinesireksp1Paslaugaproduk9,SIS063_F_Muitinesireksp1Paslaugaproduk9,SIS065_F_Muitinesireksp1Paslaugaproduk9)</f>
        <v>0</v>
      </c>
      <c r="AC113" s="85">
        <v>0</v>
      </c>
      <c r="AD113" s="86">
        <v>0</v>
      </c>
      <c r="AE113" s="86">
        <v>0</v>
      </c>
      <c r="AF113" s="86">
        <v>0</v>
      </c>
      <c r="AG113" s="87">
        <v>0</v>
      </c>
      <c r="AH113" s="87">
        <v>0</v>
      </c>
      <c r="AI113" s="87">
        <v>0</v>
      </c>
      <c r="AJ113" s="87">
        <v>0</v>
      </c>
      <c r="AK113" s="87">
        <v>0</v>
      </c>
      <c r="AL113" s="87">
        <v>0</v>
      </c>
      <c r="AM113" s="87">
        <v>0</v>
      </c>
      <c r="AN113" s="87">
        <v>0</v>
      </c>
      <c r="AO113" s="87">
        <v>0</v>
      </c>
      <c r="AP113" s="87">
        <v>0</v>
      </c>
      <c r="AQ113" s="87">
        <v>0</v>
      </c>
      <c r="AR113" s="87">
        <v>0</v>
      </c>
      <c r="AS113" s="87">
        <v>0</v>
      </c>
      <c r="AT113" s="87">
        <v>0</v>
      </c>
      <c r="AU113" s="88">
        <v>0</v>
      </c>
      <c r="AV113" s="85">
        <v>0</v>
      </c>
      <c r="AW113" s="86">
        <v>0</v>
      </c>
      <c r="AX113" s="86">
        <v>0</v>
      </c>
      <c r="AY113" s="86">
        <v>0</v>
      </c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8"/>
      <c r="BO113" s="85"/>
      <c r="BP113" s="86"/>
      <c r="BQ113" s="86"/>
      <c r="BR113" s="86"/>
      <c r="BS113" s="87"/>
      <c r="BT113" s="87"/>
      <c r="BU113" s="87"/>
      <c r="BV113" s="87"/>
      <c r="BW113" s="87"/>
      <c r="BX113" s="87"/>
      <c r="BY113" s="87"/>
      <c r="BZ113" s="87"/>
      <c r="CA113" s="87"/>
      <c r="CB113" s="87"/>
      <c r="CC113" s="87"/>
      <c r="CD113" s="87"/>
      <c r="CE113" s="87"/>
      <c r="CF113" s="87"/>
      <c r="CG113" s="88"/>
      <c r="CH113" s="85"/>
      <c r="CI113" s="86"/>
      <c r="CJ113" s="86"/>
      <c r="CK113" s="86"/>
      <c r="CL113" s="87"/>
      <c r="CM113" s="87"/>
      <c r="CN113" s="87"/>
      <c r="CO113" s="87"/>
      <c r="CP113" s="87"/>
      <c r="CQ113" s="87"/>
      <c r="CR113" s="87"/>
      <c r="CS113" s="87"/>
      <c r="CT113" s="87"/>
      <c r="CU113" s="87"/>
      <c r="CV113" s="87"/>
      <c r="CW113" s="87"/>
      <c r="CX113" s="87"/>
      <c r="CY113" s="87"/>
      <c r="CZ113" s="88"/>
      <c r="DA113" s="85"/>
      <c r="DB113" s="86"/>
      <c r="DC113" s="86"/>
      <c r="DD113" s="86"/>
      <c r="DE113" s="87"/>
      <c r="DF113" s="87"/>
      <c r="DG113" s="87"/>
      <c r="DH113" s="87"/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8"/>
      <c r="DT113" s="85"/>
      <c r="DU113" s="86"/>
      <c r="DV113" s="86"/>
      <c r="DW113" s="86"/>
      <c r="DX113" s="87"/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7"/>
      <c r="EJ113" s="87"/>
      <c r="EK113" s="87"/>
      <c r="EL113" s="88"/>
      <c r="EM113" s="85"/>
      <c r="EN113" s="86"/>
      <c r="EO113" s="86"/>
      <c r="EP113" s="86"/>
      <c r="EQ113" s="87"/>
      <c r="ER113" s="87"/>
      <c r="ES113" s="87"/>
      <c r="ET113" s="87"/>
      <c r="EU113" s="87"/>
      <c r="EV113" s="87"/>
      <c r="EW113" s="87"/>
      <c r="EX113" s="87"/>
      <c r="EY113" s="87"/>
      <c r="EZ113" s="87"/>
      <c r="FA113" s="87"/>
      <c r="FB113" s="87"/>
      <c r="FC113" s="87"/>
      <c r="FD113" s="87"/>
      <c r="FE113" s="89"/>
    </row>
    <row r="114" spans="2:161" s="6" customFormat="1" ht="26.4">
      <c r="B114" s="115" t="s">
        <v>211</v>
      </c>
      <c r="C114" s="109" t="s">
        <v>212</v>
      </c>
      <c r="D114" s="81">
        <f t="shared" si="46"/>
        <v>0</v>
      </c>
      <c r="E114" s="82">
        <f t="shared" si="50"/>
        <v>0</v>
      </c>
      <c r="F114" s="83">
        <f t="shared" si="50"/>
        <v>0</v>
      </c>
      <c r="G114" s="83">
        <f t="shared" si="50"/>
        <v>0</v>
      </c>
      <c r="H114" s="83">
        <f t="shared" si="50"/>
        <v>0</v>
      </c>
      <c r="I114" s="84">
        <f t="shared" si="50"/>
        <v>0</v>
      </c>
      <c r="J114" s="84">
        <f t="shared" si="50"/>
        <v>0</v>
      </c>
      <c r="K114" s="84">
        <f t="shared" si="50"/>
        <v>0</v>
      </c>
      <c r="L114" s="84">
        <f t="shared" si="50"/>
        <v>0</v>
      </c>
      <c r="M114" s="84">
        <f t="shared" si="50"/>
        <v>0</v>
      </c>
      <c r="N114" s="84">
        <f t="shared" si="50"/>
        <v>0</v>
      </c>
      <c r="O114" s="84">
        <f t="shared" si="50"/>
        <v>0</v>
      </c>
      <c r="P114" s="84">
        <f t="shared" si="50"/>
        <v>0</v>
      </c>
      <c r="Q114" s="84">
        <f t="shared" si="50"/>
        <v>0</v>
      </c>
      <c r="R114" s="84">
        <f t="shared" si="50"/>
        <v>0</v>
      </c>
      <c r="S114" s="84">
        <f t="shared" si="50"/>
        <v>0</v>
      </c>
      <c r="T114" s="84">
        <f t="shared" si="49"/>
        <v>0</v>
      </c>
      <c r="U114" s="84">
        <f t="shared" si="49"/>
        <v>0</v>
      </c>
      <c r="V114" s="84">
        <f t="shared" si="49"/>
        <v>0</v>
      </c>
      <c r="W114" s="84">
        <f>SIS064_F_Metrologinespa1Elektrosenergi5</f>
        <v>0</v>
      </c>
      <c r="X114" s="84">
        <f>SUM(SIS062_F_Metrologinespa1Geriamojovande1,SIS063_F_Metrologinespa1Geriamojovande1,SIS065_F_Metrologinespa1Geriamojovande1)</f>
        <v>0</v>
      </c>
      <c r="Y114" s="84">
        <f>SUM(SIS062_F_Metrologinespa1Paslaugaproduk8,SIS063_F_Metrologinespa1Paslaugaproduk8,SIS065_F_Metrologinespa1Paslaugaproduk8)</f>
        <v>0</v>
      </c>
      <c r="Z114" s="84">
        <f>SIS064_F_Metrologinespa1Elektrosenergi6</f>
        <v>0</v>
      </c>
      <c r="AA114" s="84">
        <f>SUM(SIS062_F_Metrologinespa1Konkurencinesi1,SIS063_F_Metrologinespa1Konkurencinesi1,SIS065_F_Metrologinespa1Konkurencinesi1,)</f>
        <v>0</v>
      </c>
      <c r="AB114" s="84">
        <f>SUM(SIS062_F_Metrologinespa1Paslaugaproduk9,SIS063_F_Metrologinespa1Paslaugaproduk9,SIS065_F_Metrologinespa1Paslaugaproduk9)</f>
        <v>0</v>
      </c>
      <c r="AC114" s="85">
        <v>0</v>
      </c>
      <c r="AD114" s="86">
        <v>0</v>
      </c>
      <c r="AE114" s="86">
        <v>0</v>
      </c>
      <c r="AF114" s="86">
        <v>0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0</v>
      </c>
      <c r="AN114" s="87">
        <v>0</v>
      </c>
      <c r="AO114" s="87">
        <v>0</v>
      </c>
      <c r="AP114" s="87">
        <v>0</v>
      </c>
      <c r="AQ114" s="87">
        <v>0</v>
      </c>
      <c r="AR114" s="87">
        <v>0</v>
      </c>
      <c r="AS114" s="87">
        <v>0</v>
      </c>
      <c r="AT114" s="87">
        <v>0</v>
      </c>
      <c r="AU114" s="88">
        <v>0</v>
      </c>
      <c r="AV114" s="85">
        <v>0</v>
      </c>
      <c r="AW114" s="86">
        <v>0</v>
      </c>
      <c r="AX114" s="86">
        <v>0</v>
      </c>
      <c r="AY114" s="86">
        <v>0</v>
      </c>
      <c r="AZ114" s="87"/>
      <c r="BA114" s="87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8"/>
      <c r="BO114" s="85"/>
      <c r="BP114" s="86"/>
      <c r="BQ114" s="86"/>
      <c r="BR114" s="86"/>
      <c r="BS114" s="87"/>
      <c r="BT114" s="87"/>
      <c r="BU114" s="87"/>
      <c r="BV114" s="87"/>
      <c r="BW114" s="87"/>
      <c r="BX114" s="87"/>
      <c r="BY114" s="87"/>
      <c r="BZ114" s="87"/>
      <c r="CA114" s="87"/>
      <c r="CB114" s="87"/>
      <c r="CC114" s="87"/>
      <c r="CD114" s="87"/>
      <c r="CE114" s="87"/>
      <c r="CF114" s="87"/>
      <c r="CG114" s="88"/>
      <c r="CH114" s="85"/>
      <c r="CI114" s="86"/>
      <c r="CJ114" s="86"/>
      <c r="CK114" s="86"/>
      <c r="CL114" s="87"/>
      <c r="CM114" s="87"/>
      <c r="CN114" s="87"/>
      <c r="CO114" s="87"/>
      <c r="CP114" s="87"/>
      <c r="CQ114" s="87"/>
      <c r="CR114" s="87"/>
      <c r="CS114" s="87"/>
      <c r="CT114" s="87"/>
      <c r="CU114" s="87"/>
      <c r="CV114" s="87"/>
      <c r="CW114" s="87"/>
      <c r="CX114" s="87"/>
      <c r="CY114" s="87"/>
      <c r="CZ114" s="88"/>
      <c r="DA114" s="85"/>
      <c r="DB114" s="86"/>
      <c r="DC114" s="86"/>
      <c r="DD114" s="86"/>
      <c r="DE114" s="87"/>
      <c r="DF114" s="87"/>
      <c r="DG114" s="87"/>
      <c r="DH114" s="87"/>
      <c r="DI114" s="87"/>
      <c r="DJ114" s="87"/>
      <c r="DK114" s="87"/>
      <c r="DL114" s="87"/>
      <c r="DM114" s="87"/>
      <c r="DN114" s="87"/>
      <c r="DO114" s="87"/>
      <c r="DP114" s="87"/>
      <c r="DQ114" s="87"/>
      <c r="DR114" s="87"/>
      <c r="DS114" s="88"/>
      <c r="DT114" s="85"/>
      <c r="DU114" s="86"/>
      <c r="DV114" s="86"/>
      <c r="DW114" s="86"/>
      <c r="DX114" s="87"/>
      <c r="DY114" s="87"/>
      <c r="DZ114" s="87"/>
      <c r="EA114" s="87"/>
      <c r="EB114" s="87"/>
      <c r="EC114" s="87"/>
      <c r="ED114" s="87"/>
      <c r="EE114" s="87"/>
      <c r="EF114" s="87"/>
      <c r="EG114" s="87"/>
      <c r="EH114" s="87"/>
      <c r="EI114" s="87"/>
      <c r="EJ114" s="87"/>
      <c r="EK114" s="87"/>
      <c r="EL114" s="88"/>
      <c r="EM114" s="85"/>
      <c r="EN114" s="86"/>
      <c r="EO114" s="86"/>
      <c r="EP114" s="86"/>
      <c r="EQ114" s="87"/>
      <c r="ER114" s="87"/>
      <c r="ES114" s="87"/>
      <c r="ET114" s="87"/>
      <c r="EU114" s="87"/>
      <c r="EV114" s="87"/>
      <c r="EW114" s="87"/>
      <c r="EX114" s="87"/>
      <c r="EY114" s="87"/>
      <c r="EZ114" s="87"/>
      <c r="FA114" s="87"/>
      <c r="FB114" s="87"/>
      <c r="FC114" s="87"/>
      <c r="FD114" s="87"/>
      <c r="FE114" s="89"/>
    </row>
    <row r="115" spans="2:161" s="6" customFormat="1" ht="26.4">
      <c r="B115" s="115" t="s">
        <v>213</v>
      </c>
      <c r="C115" s="109" t="str">
        <f>SIS055_D_Kitoseinamojor1</f>
        <v>Kitos einamojo remonto ir aptarnavimo sąnaudos (smulkaus remonto sąnaudos)</v>
      </c>
      <c r="D115" s="81">
        <f t="shared" si="46"/>
        <v>589.05000000000007</v>
      </c>
      <c r="E115" s="82">
        <f t="shared" si="50"/>
        <v>379.43934334706802</v>
      </c>
      <c r="F115" s="83">
        <f t="shared" si="50"/>
        <v>0</v>
      </c>
      <c r="G115" s="83">
        <f t="shared" si="50"/>
        <v>0</v>
      </c>
      <c r="H115" s="83">
        <f t="shared" si="50"/>
        <v>0</v>
      </c>
      <c r="I115" s="84">
        <f t="shared" si="50"/>
        <v>0</v>
      </c>
      <c r="J115" s="84">
        <f t="shared" si="50"/>
        <v>116.20138852495234</v>
      </c>
      <c r="K115" s="84">
        <f t="shared" si="50"/>
        <v>0</v>
      </c>
      <c r="L115" s="84">
        <f t="shared" si="50"/>
        <v>0</v>
      </c>
      <c r="M115" s="84">
        <f t="shared" si="50"/>
        <v>17.917842491996662</v>
      </c>
      <c r="N115" s="84">
        <f t="shared" si="50"/>
        <v>14.891095106699558</v>
      </c>
      <c r="O115" s="84">
        <f t="shared" si="50"/>
        <v>0</v>
      </c>
      <c r="P115" s="84">
        <f t="shared" si="50"/>
        <v>12.219350766429516</v>
      </c>
      <c r="Q115" s="84">
        <f t="shared" si="50"/>
        <v>0</v>
      </c>
      <c r="R115" s="84">
        <f t="shared" si="50"/>
        <v>0</v>
      </c>
      <c r="S115" s="84">
        <f t="shared" si="50"/>
        <v>44.232891051062047</v>
      </c>
      <c r="T115" s="84">
        <f t="shared" si="49"/>
        <v>0</v>
      </c>
      <c r="U115" s="84">
        <f t="shared" si="49"/>
        <v>0</v>
      </c>
      <c r="V115" s="84">
        <f t="shared" si="49"/>
        <v>0</v>
      </c>
      <c r="W115" s="84">
        <f>SIS064_F_Kitoseinamojor1Elektrosenergi5</f>
        <v>0</v>
      </c>
      <c r="X115" s="84">
        <f>SUM(SIS062_F_Kitoseinamojor1Geriamojovande1,SIS063_F_Kitoseinamojor1Geriamojovande1,SIS065_F_Kitoseinamojor1Geriamojovande1)</f>
        <v>0</v>
      </c>
      <c r="Y115" s="84">
        <f>SUM(SIS062_F_Kitoseinamojor1Paslaugaproduk8,SIS063_F_Kitoseinamojor1Paslaugaproduk8,SIS065_F_Kitoseinamojor1Paslaugaproduk8)</f>
        <v>0</v>
      </c>
      <c r="Z115" s="84">
        <f>SIS064_F_Kitoseinamojor1Elektrosenergi6</f>
        <v>0</v>
      </c>
      <c r="AA115" s="84">
        <f>SUM(SIS062_F_Kitoseinamojor1Konkurencinesi1,SIS063_F_Kitoseinamojor1Konkurencinesi1,SIS065_F_Kitoseinamojor1Konkurencinesi1,)</f>
        <v>0</v>
      </c>
      <c r="AB115" s="84">
        <f>SUM(SIS062_F_Kitoseinamojor1Paslaugaproduk9,SIS063_F_Kitoseinamojor1Paslaugaproduk9,SIS065_F_Kitoseinamojor1Paslaugaproduk9)</f>
        <v>4.1480887117918055</v>
      </c>
      <c r="AC115" s="85">
        <v>379.43934334706802</v>
      </c>
      <c r="AD115" s="86">
        <v>0</v>
      </c>
      <c r="AE115" s="86">
        <v>0</v>
      </c>
      <c r="AF115" s="86">
        <v>0</v>
      </c>
      <c r="AG115" s="87">
        <v>0</v>
      </c>
      <c r="AH115" s="87">
        <v>116.20138852495234</v>
      </c>
      <c r="AI115" s="87">
        <v>0</v>
      </c>
      <c r="AJ115" s="87">
        <v>0</v>
      </c>
      <c r="AK115" s="87">
        <v>17.917842491996662</v>
      </c>
      <c r="AL115" s="87">
        <v>14.891095106699558</v>
      </c>
      <c r="AM115" s="87">
        <v>0</v>
      </c>
      <c r="AN115" s="87">
        <v>12.219350766429516</v>
      </c>
      <c r="AO115" s="87">
        <v>0</v>
      </c>
      <c r="AP115" s="87">
        <v>0</v>
      </c>
      <c r="AQ115" s="87">
        <v>44.232891051062047</v>
      </c>
      <c r="AR115" s="87">
        <v>0</v>
      </c>
      <c r="AS115" s="87">
        <v>0</v>
      </c>
      <c r="AT115" s="87">
        <v>0</v>
      </c>
      <c r="AU115" s="88">
        <v>0</v>
      </c>
      <c r="AV115" s="85">
        <v>0</v>
      </c>
      <c r="AW115" s="86">
        <v>0</v>
      </c>
      <c r="AX115" s="86">
        <v>0</v>
      </c>
      <c r="AY115" s="86">
        <v>0</v>
      </c>
      <c r="AZ115" s="87"/>
      <c r="BA115" s="87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8"/>
      <c r="BO115" s="85"/>
      <c r="BP115" s="86"/>
      <c r="BQ115" s="86"/>
      <c r="BR115" s="86"/>
      <c r="BS115" s="87"/>
      <c r="BT115" s="87"/>
      <c r="BU115" s="87"/>
      <c r="BV115" s="87"/>
      <c r="BW115" s="87"/>
      <c r="BX115" s="87"/>
      <c r="BY115" s="87"/>
      <c r="BZ115" s="87"/>
      <c r="CA115" s="87"/>
      <c r="CB115" s="87"/>
      <c r="CC115" s="87"/>
      <c r="CD115" s="87"/>
      <c r="CE115" s="87"/>
      <c r="CF115" s="87"/>
      <c r="CG115" s="88"/>
      <c r="CH115" s="85"/>
      <c r="CI115" s="86"/>
      <c r="CJ115" s="86"/>
      <c r="CK115" s="86"/>
      <c r="CL115" s="87"/>
      <c r="CM115" s="87"/>
      <c r="CN115" s="87"/>
      <c r="CO115" s="87"/>
      <c r="CP115" s="87"/>
      <c r="CQ115" s="87"/>
      <c r="CR115" s="87"/>
      <c r="CS115" s="87"/>
      <c r="CT115" s="87"/>
      <c r="CU115" s="87"/>
      <c r="CV115" s="87"/>
      <c r="CW115" s="87"/>
      <c r="CX115" s="87"/>
      <c r="CY115" s="87"/>
      <c r="CZ115" s="88"/>
      <c r="DA115" s="85"/>
      <c r="DB115" s="86"/>
      <c r="DC115" s="86"/>
      <c r="DD115" s="86"/>
      <c r="DE115" s="87"/>
      <c r="DF115" s="87"/>
      <c r="DG115" s="87"/>
      <c r="DH115" s="87"/>
      <c r="DI115" s="87"/>
      <c r="DJ115" s="87"/>
      <c r="DK115" s="87"/>
      <c r="DL115" s="87"/>
      <c r="DM115" s="87"/>
      <c r="DN115" s="87"/>
      <c r="DO115" s="87"/>
      <c r="DP115" s="87"/>
      <c r="DQ115" s="87"/>
      <c r="DR115" s="87"/>
      <c r="DS115" s="88"/>
      <c r="DT115" s="85"/>
      <c r="DU115" s="86"/>
      <c r="DV115" s="86"/>
      <c r="DW115" s="86"/>
      <c r="DX115" s="87"/>
      <c r="DY115" s="87"/>
      <c r="DZ115" s="87"/>
      <c r="EA115" s="87"/>
      <c r="EB115" s="87"/>
      <c r="EC115" s="87"/>
      <c r="ED115" s="87"/>
      <c r="EE115" s="87"/>
      <c r="EF115" s="87"/>
      <c r="EG115" s="87"/>
      <c r="EH115" s="87"/>
      <c r="EI115" s="87"/>
      <c r="EJ115" s="87"/>
      <c r="EK115" s="87"/>
      <c r="EL115" s="88"/>
      <c r="EM115" s="85"/>
      <c r="EN115" s="86"/>
      <c r="EO115" s="86"/>
      <c r="EP115" s="86"/>
      <c r="EQ115" s="87"/>
      <c r="ER115" s="87"/>
      <c r="ES115" s="87"/>
      <c r="ET115" s="87"/>
      <c r="EU115" s="87"/>
      <c r="EV115" s="87"/>
      <c r="EW115" s="87"/>
      <c r="EX115" s="87"/>
      <c r="EY115" s="87"/>
      <c r="EZ115" s="87"/>
      <c r="FA115" s="87"/>
      <c r="FB115" s="87"/>
      <c r="FC115" s="87"/>
      <c r="FD115" s="87"/>
      <c r="FE115" s="89"/>
    </row>
    <row r="116" spans="2:161" s="6" customFormat="1" ht="13.2">
      <c r="B116" s="115" t="s">
        <v>214</v>
      </c>
      <c r="C116" s="109" t="str">
        <f>SIS055_D_Kitoseinamojor2</f>
        <v>Kitos einamojo remonto ir aptarnavimo sąnaudos (nurodyti)</v>
      </c>
      <c r="D116" s="81">
        <f t="shared" si="46"/>
        <v>0</v>
      </c>
      <c r="E116" s="82">
        <f t="shared" si="50"/>
        <v>0</v>
      </c>
      <c r="F116" s="83">
        <f t="shared" si="50"/>
        <v>0</v>
      </c>
      <c r="G116" s="83">
        <f t="shared" si="50"/>
        <v>0</v>
      </c>
      <c r="H116" s="83">
        <f t="shared" si="50"/>
        <v>0</v>
      </c>
      <c r="I116" s="84">
        <f t="shared" si="50"/>
        <v>0</v>
      </c>
      <c r="J116" s="84">
        <f t="shared" si="50"/>
        <v>0</v>
      </c>
      <c r="K116" s="84">
        <f t="shared" si="50"/>
        <v>0</v>
      </c>
      <c r="L116" s="84">
        <f t="shared" si="50"/>
        <v>0</v>
      </c>
      <c r="M116" s="84">
        <f t="shared" si="50"/>
        <v>0</v>
      </c>
      <c r="N116" s="84">
        <f t="shared" si="50"/>
        <v>0</v>
      </c>
      <c r="O116" s="84">
        <f t="shared" si="50"/>
        <v>0</v>
      </c>
      <c r="P116" s="84">
        <f t="shared" si="50"/>
        <v>0</v>
      </c>
      <c r="Q116" s="84">
        <f t="shared" si="50"/>
        <v>0</v>
      </c>
      <c r="R116" s="84">
        <f t="shared" si="50"/>
        <v>0</v>
      </c>
      <c r="S116" s="84">
        <f t="shared" si="50"/>
        <v>0</v>
      </c>
      <c r="T116" s="84">
        <f t="shared" si="49"/>
        <v>0</v>
      </c>
      <c r="U116" s="84">
        <f t="shared" si="49"/>
        <v>0</v>
      </c>
      <c r="V116" s="84">
        <f t="shared" si="49"/>
        <v>0</v>
      </c>
      <c r="W116" s="84">
        <f>SIS064_F_Kitoseinamojor2Elektrosenergi5</f>
        <v>0</v>
      </c>
      <c r="X116" s="84">
        <f>SUM(SIS062_F_Kitoseinamojor2Geriamojovande1,SIS063_F_Kitoseinamojor2Geriamojovande1,SIS065_F_Kitoseinamojor2Geriamojovande1)</f>
        <v>0</v>
      </c>
      <c r="Y116" s="84">
        <f>SUM(SIS062_F_Kitoseinamojor2Paslaugaproduk8,SIS063_F_Kitoseinamojor2Paslaugaproduk8,SIS065_F_Kitoseinamojor2Paslaugaproduk8)</f>
        <v>0</v>
      </c>
      <c r="Z116" s="84">
        <f>SIS064_F_Kitoseinamojor2Elektrosenergi6</f>
        <v>0</v>
      </c>
      <c r="AA116" s="84">
        <f>SUM(SIS062_F_Kitoseinamojor2Konkurencinesi1,SIS063_F_Kitoseinamojor2Konkurencinesi1,SIS065_F_Kitoseinamojor2Konkurencinesi1,)</f>
        <v>0</v>
      </c>
      <c r="AB116" s="84">
        <f>SUM(SIS062_F_Kitoseinamojor2Paslaugaproduk9,SIS063_F_Kitoseinamojor2Paslaugaproduk9,SIS065_F_Kitoseinamojor2Paslaugaproduk9)</f>
        <v>0</v>
      </c>
      <c r="AC116" s="85">
        <v>0</v>
      </c>
      <c r="AD116" s="86">
        <v>0</v>
      </c>
      <c r="AE116" s="86">
        <v>0</v>
      </c>
      <c r="AF116" s="86">
        <v>0</v>
      </c>
      <c r="AG116" s="87">
        <v>0</v>
      </c>
      <c r="AH116" s="87">
        <v>0</v>
      </c>
      <c r="AI116" s="87">
        <v>0</v>
      </c>
      <c r="AJ116" s="87">
        <v>0</v>
      </c>
      <c r="AK116" s="87">
        <v>0</v>
      </c>
      <c r="AL116" s="87">
        <v>0</v>
      </c>
      <c r="AM116" s="87">
        <v>0</v>
      </c>
      <c r="AN116" s="87">
        <v>0</v>
      </c>
      <c r="AO116" s="87">
        <v>0</v>
      </c>
      <c r="AP116" s="87">
        <v>0</v>
      </c>
      <c r="AQ116" s="87">
        <v>0</v>
      </c>
      <c r="AR116" s="87">
        <v>0</v>
      </c>
      <c r="AS116" s="87">
        <v>0</v>
      </c>
      <c r="AT116" s="87">
        <v>0</v>
      </c>
      <c r="AU116" s="88">
        <v>0</v>
      </c>
      <c r="AV116" s="85">
        <v>0</v>
      </c>
      <c r="AW116" s="86">
        <v>0</v>
      </c>
      <c r="AX116" s="86">
        <v>0</v>
      </c>
      <c r="AY116" s="86">
        <v>0</v>
      </c>
      <c r="AZ116" s="87"/>
      <c r="BA116" s="87"/>
      <c r="BB116" s="87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8"/>
      <c r="BO116" s="85"/>
      <c r="BP116" s="86"/>
      <c r="BQ116" s="86"/>
      <c r="BR116" s="86"/>
      <c r="BS116" s="87"/>
      <c r="BT116" s="87"/>
      <c r="BU116" s="87"/>
      <c r="BV116" s="87"/>
      <c r="BW116" s="87"/>
      <c r="BX116" s="87"/>
      <c r="BY116" s="87"/>
      <c r="BZ116" s="87"/>
      <c r="CA116" s="87"/>
      <c r="CB116" s="87"/>
      <c r="CC116" s="87"/>
      <c r="CD116" s="87"/>
      <c r="CE116" s="87"/>
      <c r="CF116" s="87"/>
      <c r="CG116" s="88"/>
      <c r="CH116" s="85"/>
      <c r="CI116" s="86"/>
      <c r="CJ116" s="86"/>
      <c r="CK116" s="86"/>
      <c r="CL116" s="87"/>
      <c r="CM116" s="87"/>
      <c r="CN116" s="87"/>
      <c r="CO116" s="87"/>
      <c r="CP116" s="87"/>
      <c r="CQ116" s="87"/>
      <c r="CR116" s="87"/>
      <c r="CS116" s="87"/>
      <c r="CT116" s="87"/>
      <c r="CU116" s="87"/>
      <c r="CV116" s="87"/>
      <c r="CW116" s="87"/>
      <c r="CX116" s="87"/>
      <c r="CY116" s="87"/>
      <c r="CZ116" s="88"/>
      <c r="DA116" s="85"/>
      <c r="DB116" s="86"/>
      <c r="DC116" s="86"/>
      <c r="DD116" s="86"/>
      <c r="DE116" s="87"/>
      <c r="DF116" s="87"/>
      <c r="DG116" s="87"/>
      <c r="DH116" s="87"/>
      <c r="DI116" s="87"/>
      <c r="DJ116" s="87"/>
      <c r="DK116" s="87"/>
      <c r="DL116" s="87"/>
      <c r="DM116" s="87"/>
      <c r="DN116" s="87"/>
      <c r="DO116" s="87"/>
      <c r="DP116" s="87"/>
      <c r="DQ116" s="87"/>
      <c r="DR116" s="87"/>
      <c r="DS116" s="88"/>
      <c r="DT116" s="85"/>
      <c r="DU116" s="86"/>
      <c r="DV116" s="86"/>
      <c r="DW116" s="86"/>
      <c r="DX116" s="87"/>
      <c r="DY116" s="87"/>
      <c r="DZ116" s="87"/>
      <c r="EA116" s="87"/>
      <c r="EB116" s="87"/>
      <c r="EC116" s="87"/>
      <c r="ED116" s="87"/>
      <c r="EE116" s="87"/>
      <c r="EF116" s="87"/>
      <c r="EG116" s="87"/>
      <c r="EH116" s="87"/>
      <c r="EI116" s="87"/>
      <c r="EJ116" s="87"/>
      <c r="EK116" s="87"/>
      <c r="EL116" s="88"/>
      <c r="EM116" s="85"/>
      <c r="EN116" s="86"/>
      <c r="EO116" s="86"/>
      <c r="EP116" s="86"/>
      <c r="EQ116" s="87"/>
      <c r="ER116" s="87"/>
      <c r="ES116" s="87"/>
      <c r="ET116" s="87"/>
      <c r="EU116" s="87"/>
      <c r="EV116" s="87"/>
      <c r="EW116" s="87"/>
      <c r="EX116" s="87"/>
      <c r="EY116" s="87"/>
      <c r="EZ116" s="87"/>
      <c r="FA116" s="87"/>
      <c r="FB116" s="87"/>
      <c r="FC116" s="87"/>
      <c r="FD116" s="87"/>
      <c r="FE116" s="89"/>
    </row>
    <row r="117" spans="2:161" s="6" customFormat="1" ht="13.2">
      <c r="B117" s="115" t="s">
        <v>215</v>
      </c>
      <c r="C117" s="109" t="str">
        <f>SIS055_D_Kitoseinamojor3</f>
        <v>Kitos einamojo remonto ir aptarnavimo sąnaudos (nurodyti)</v>
      </c>
      <c r="D117" s="81">
        <f t="shared" si="46"/>
        <v>0</v>
      </c>
      <c r="E117" s="82">
        <f t="shared" si="50"/>
        <v>0</v>
      </c>
      <c r="F117" s="83">
        <f t="shared" si="50"/>
        <v>0</v>
      </c>
      <c r="G117" s="83">
        <f t="shared" si="50"/>
        <v>0</v>
      </c>
      <c r="H117" s="83">
        <f t="shared" si="50"/>
        <v>0</v>
      </c>
      <c r="I117" s="84">
        <f t="shared" si="50"/>
        <v>0</v>
      </c>
      <c r="J117" s="84">
        <f t="shared" si="50"/>
        <v>0</v>
      </c>
      <c r="K117" s="84">
        <f t="shared" si="50"/>
        <v>0</v>
      </c>
      <c r="L117" s="84">
        <f t="shared" si="50"/>
        <v>0</v>
      </c>
      <c r="M117" s="84">
        <f t="shared" si="50"/>
        <v>0</v>
      </c>
      <c r="N117" s="84">
        <f t="shared" si="50"/>
        <v>0</v>
      </c>
      <c r="O117" s="84">
        <f t="shared" si="50"/>
        <v>0</v>
      </c>
      <c r="P117" s="84">
        <f t="shared" si="50"/>
        <v>0</v>
      </c>
      <c r="Q117" s="84">
        <f t="shared" si="50"/>
        <v>0</v>
      </c>
      <c r="R117" s="84">
        <f t="shared" si="50"/>
        <v>0</v>
      </c>
      <c r="S117" s="84">
        <f t="shared" si="50"/>
        <v>0</v>
      </c>
      <c r="T117" s="84">
        <f t="shared" si="49"/>
        <v>0</v>
      </c>
      <c r="U117" s="84">
        <f t="shared" si="49"/>
        <v>0</v>
      </c>
      <c r="V117" s="84">
        <f t="shared" si="49"/>
        <v>0</v>
      </c>
      <c r="W117" s="84">
        <f>SIS064_F_Kitoseinamojor3Elektrosenergi5</f>
        <v>0</v>
      </c>
      <c r="X117" s="84">
        <f>SUM(SIS062_F_Kitoseinamojor3Geriamojovande1,SIS063_F_Kitoseinamojor3Geriamojovande1,SIS065_F_Kitoseinamojor3Geriamojovande1)</f>
        <v>0</v>
      </c>
      <c r="Y117" s="84">
        <f>SUM(SIS062_F_Kitoseinamojor3Paslaugaproduk8,SIS063_F_Kitoseinamojor3Paslaugaproduk8,SIS065_F_Kitoseinamojor3Paslaugaproduk8)</f>
        <v>0</v>
      </c>
      <c r="Z117" s="84">
        <f>SIS064_F_Kitoseinamojor3Elektrosenergi6</f>
        <v>0</v>
      </c>
      <c r="AA117" s="84">
        <f>SUM(SIS062_F_Kitoseinamojor3Konkurencinesi1,SIS063_F_Kitoseinamojor3Konkurencinesi1,SIS065_F_Kitoseinamojor3Konkurencinesi1,)</f>
        <v>0</v>
      </c>
      <c r="AB117" s="84">
        <f>SUM(SIS062_F_Kitoseinamojor3Paslaugaproduk9,SIS063_F_Kitoseinamojor3Paslaugaproduk9,SIS065_F_Kitoseinamojor3Paslaugaproduk9)</f>
        <v>0</v>
      </c>
      <c r="AC117" s="85">
        <v>0</v>
      </c>
      <c r="AD117" s="86">
        <v>0</v>
      </c>
      <c r="AE117" s="86">
        <v>0</v>
      </c>
      <c r="AF117" s="86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8">
        <v>0</v>
      </c>
      <c r="AV117" s="85">
        <v>0</v>
      </c>
      <c r="AW117" s="86">
        <v>0</v>
      </c>
      <c r="AX117" s="86">
        <v>0</v>
      </c>
      <c r="AY117" s="86">
        <v>0</v>
      </c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8"/>
      <c r="BO117" s="85"/>
      <c r="BP117" s="86"/>
      <c r="BQ117" s="86"/>
      <c r="BR117" s="86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8"/>
      <c r="CH117" s="85"/>
      <c r="CI117" s="86"/>
      <c r="CJ117" s="86"/>
      <c r="CK117" s="86"/>
      <c r="CL117" s="87"/>
      <c r="CM117" s="87"/>
      <c r="CN117" s="87"/>
      <c r="CO117" s="87"/>
      <c r="CP117" s="87"/>
      <c r="CQ117" s="87"/>
      <c r="CR117" s="87"/>
      <c r="CS117" s="87"/>
      <c r="CT117" s="87"/>
      <c r="CU117" s="87"/>
      <c r="CV117" s="87"/>
      <c r="CW117" s="87"/>
      <c r="CX117" s="87"/>
      <c r="CY117" s="87"/>
      <c r="CZ117" s="88"/>
      <c r="DA117" s="85"/>
      <c r="DB117" s="86"/>
      <c r="DC117" s="86"/>
      <c r="DD117" s="86"/>
      <c r="DE117" s="87"/>
      <c r="DF117" s="87"/>
      <c r="DG117" s="87"/>
      <c r="DH117" s="87"/>
      <c r="DI117" s="87"/>
      <c r="DJ117" s="87"/>
      <c r="DK117" s="87"/>
      <c r="DL117" s="87"/>
      <c r="DM117" s="87"/>
      <c r="DN117" s="87"/>
      <c r="DO117" s="87"/>
      <c r="DP117" s="87"/>
      <c r="DQ117" s="87"/>
      <c r="DR117" s="87"/>
      <c r="DS117" s="88"/>
      <c r="DT117" s="85"/>
      <c r="DU117" s="86"/>
      <c r="DV117" s="86"/>
      <c r="DW117" s="86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8"/>
      <c r="EM117" s="85"/>
      <c r="EN117" s="86"/>
      <c r="EO117" s="86"/>
      <c r="EP117" s="86"/>
      <c r="EQ117" s="87"/>
      <c r="ER117" s="87"/>
      <c r="ES117" s="87"/>
      <c r="ET117" s="87"/>
      <c r="EU117" s="87"/>
      <c r="EV117" s="87"/>
      <c r="EW117" s="87"/>
      <c r="EX117" s="87"/>
      <c r="EY117" s="87"/>
      <c r="EZ117" s="87"/>
      <c r="FA117" s="87"/>
      <c r="FB117" s="87"/>
      <c r="FC117" s="87"/>
      <c r="FD117" s="87"/>
      <c r="FE117" s="89"/>
    </row>
    <row r="118" spans="2:161" s="6" customFormat="1" ht="13.2">
      <c r="B118" s="115" t="s">
        <v>216</v>
      </c>
      <c r="C118" s="109" t="str">
        <f>SIS055_D_Kitoseinamojor4</f>
        <v>Kitos einamojo remonto ir aptarnavimo sąnaudos (nurodyti)</v>
      </c>
      <c r="D118" s="81">
        <f t="shared" si="46"/>
        <v>0</v>
      </c>
      <c r="E118" s="82">
        <f t="shared" si="50"/>
        <v>0</v>
      </c>
      <c r="F118" s="83">
        <f t="shared" si="50"/>
        <v>0</v>
      </c>
      <c r="G118" s="83">
        <f t="shared" si="50"/>
        <v>0</v>
      </c>
      <c r="H118" s="83">
        <f t="shared" si="50"/>
        <v>0</v>
      </c>
      <c r="I118" s="84">
        <f t="shared" si="50"/>
        <v>0</v>
      </c>
      <c r="J118" s="84">
        <f t="shared" si="50"/>
        <v>0</v>
      </c>
      <c r="K118" s="84">
        <f t="shared" si="50"/>
        <v>0</v>
      </c>
      <c r="L118" s="84">
        <f t="shared" si="50"/>
        <v>0</v>
      </c>
      <c r="M118" s="84">
        <f t="shared" si="50"/>
        <v>0</v>
      </c>
      <c r="N118" s="84">
        <f t="shared" si="50"/>
        <v>0</v>
      </c>
      <c r="O118" s="84">
        <f t="shared" si="50"/>
        <v>0</v>
      </c>
      <c r="P118" s="84">
        <f t="shared" si="50"/>
        <v>0</v>
      </c>
      <c r="Q118" s="84">
        <f t="shared" si="50"/>
        <v>0</v>
      </c>
      <c r="R118" s="84">
        <f t="shared" si="50"/>
        <v>0</v>
      </c>
      <c r="S118" s="84">
        <f t="shared" si="50"/>
        <v>0</v>
      </c>
      <c r="T118" s="84">
        <f t="shared" si="49"/>
        <v>0</v>
      </c>
      <c r="U118" s="84">
        <f t="shared" si="49"/>
        <v>0</v>
      </c>
      <c r="V118" s="84">
        <f t="shared" si="49"/>
        <v>0</v>
      </c>
      <c r="W118" s="84">
        <f>SIS064_F_Kitoseinamojor4Elektrosenergi5</f>
        <v>0</v>
      </c>
      <c r="X118" s="84">
        <f>SUM(SIS062_F_Kitoseinamojor4Geriamojovande1,SIS063_F_Kitoseinamojor4Geriamojovande1,SIS065_F_Kitoseinamojor4Geriamojovande1)</f>
        <v>0</v>
      </c>
      <c r="Y118" s="84">
        <f>SUM(SIS062_F_Kitoseinamojor4Paslaugaproduk8,SIS063_F_Kitoseinamojor4Paslaugaproduk8,SIS065_F_Kitoseinamojor4Paslaugaproduk8)</f>
        <v>0</v>
      </c>
      <c r="Z118" s="84">
        <f>SIS064_F_Kitoseinamojor4Elektrosenergi6</f>
        <v>0</v>
      </c>
      <c r="AA118" s="84">
        <f>SUM(SIS062_F_Kitoseinamojor4Konkurencinesi1,SIS063_F_Kitoseinamojor4Konkurencinesi1,SIS065_F_Kitoseinamojor4Konkurencinesi1,)</f>
        <v>0</v>
      </c>
      <c r="AB118" s="84">
        <f>SUM(SIS062_F_Kitoseinamojor4Paslaugaproduk9,SIS063_F_Kitoseinamojor4Paslaugaproduk9,SIS065_F_Kitoseinamojor4Paslaugaproduk9)</f>
        <v>0</v>
      </c>
      <c r="AC118" s="85">
        <v>0</v>
      </c>
      <c r="AD118" s="86">
        <v>0</v>
      </c>
      <c r="AE118" s="86">
        <v>0</v>
      </c>
      <c r="AF118" s="86">
        <v>0</v>
      </c>
      <c r="AG118" s="87">
        <v>0</v>
      </c>
      <c r="AH118" s="87">
        <v>0</v>
      </c>
      <c r="AI118" s="87">
        <v>0</v>
      </c>
      <c r="AJ118" s="87">
        <v>0</v>
      </c>
      <c r="AK118" s="87">
        <v>0</v>
      </c>
      <c r="AL118" s="87">
        <v>0</v>
      </c>
      <c r="AM118" s="87">
        <v>0</v>
      </c>
      <c r="AN118" s="87">
        <v>0</v>
      </c>
      <c r="AO118" s="87">
        <v>0</v>
      </c>
      <c r="AP118" s="87">
        <v>0</v>
      </c>
      <c r="AQ118" s="87">
        <v>0</v>
      </c>
      <c r="AR118" s="87">
        <v>0</v>
      </c>
      <c r="AS118" s="87">
        <v>0</v>
      </c>
      <c r="AT118" s="87">
        <v>0</v>
      </c>
      <c r="AU118" s="88">
        <v>0</v>
      </c>
      <c r="AV118" s="85">
        <v>0</v>
      </c>
      <c r="AW118" s="86">
        <v>0</v>
      </c>
      <c r="AX118" s="86">
        <v>0</v>
      </c>
      <c r="AY118" s="86">
        <v>0</v>
      </c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8"/>
      <c r="BO118" s="85"/>
      <c r="BP118" s="86"/>
      <c r="BQ118" s="86"/>
      <c r="BR118" s="86"/>
      <c r="BS118" s="87"/>
      <c r="BT118" s="87"/>
      <c r="BU118" s="87"/>
      <c r="BV118" s="87"/>
      <c r="BW118" s="87"/>
      <c r="BX118" s="87"/>
      <c r="BY118" s="87"/>
      <c r="BZ118" s="87"/>
      <c r="CA118" s="87"/>
      <c r="CB118" s="87"/>
      <c r="CC118" s="87"/>
      <c r="CD118" s="87"/>
      <c r="CE118" s="87"/>
      <c r="CF118" s="87"/>
      <c r="CG118" s="88"/>
      <c r="CH118" s="85"/>
      <c r="CI118" s="86"/>
      <c r="CJ118" s="86"/>
      <c r="CK118" s="86"/>
      <c r="CL118" s="87"/>
      <c r="CM118" s="87"/>
      <c r="CN118" s="87"/>
      <c r="CO118" s="87"/>
      <c r="CP118" s="87"/>
      <c r="CQ118" s="87"/>
      <c r="CR118" s="87"/>
      <c r="CS118" s="87"/>
      <c r="CT118" s="87"/>
      <c r="CU118" s="87"/>
      <c r="CV118" s="87"/>
      <c r="CW118" s="87"/>
      <c r="CX118" s="87"/>
      <c r="CY118" s="87"/>
      <c r="CZ118" s="88"/>
      <c r="DA118" s="85"/>
      <c r="DB118" s="86"/>
      <c r="DC118" s="86"/>
      <c r="DD118" s="86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8"/>
      <c r="DT118" s="85"/>
      <c r="DU118" s="86"/>
      <c r="DV118" s="86"/>
      <c r="DW118" s="86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8"/>
      <c r="EM118" s="85"/>
      <c r="EN118" s="86"/>
      <c r="EO118" s="86"/>
      <c r="EP118" s="86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  <c r="FD118" s="87"/>
      <c r="FE118" s="89"/>
    </row>
    <row r="119" spans="2:161" s="6" customFormat="1" ht="13.2">
      <c r="B119" s="115" t="s">
        <v>217</v>
      </c>
      <c r="C119" s="109" t="str">
        <f>SIS055_D_Kitoseinamojor5</f>
        <v>Kitos einamojo remonto ir aptarnavimo sąnaudos (nurodyti)</v>
      </c>
      <c r="D119" s="81">
        <f t="shared" si="46"/>
        <v>0</v>
      </c>
      <c r="E119" s="82">
        <f t="shared" si="50"/>
        <v>0</v>
      </c>
      <c r="F119" s="83">
        <f t="shared" si="50"/>
        <v>0</v>
      </c>
      <c r="G119" s="83">
        <f t="shared" si="50"/>
        <v>0</v>
      </c>
      <c r="H119" s="83">
        <f t="shared" si="50"/>
        <v>0</v>
      </c>
      <c r="I119" s="84">
        <f t="shared" si="50"/>
        <v>0</v>
      </c>
      <c r="J119" s="84">
        <f t="shared" si="50"/>
        <v>0</v>
      </c>
      <c r="K119" s="84">
        <f t="shared" si="50"/>
        <v>0</v>
      </c>
      <c r="L119" s="84">
        <f t="shared" si="50"/>
        <v>0</v>
      </c>
      <c r="M119" s="84">
        <f t="shared" si="50"/>
        <v>0</v>
      </c>
      <c r="N119" s="84">
        <f t="shared" si="50"/>
        <v>0</v>
      </c>
      <c r="O119" s="84">
        <f t="shared" si="50"/>
        <v>0</v>
      </c>
      <c r="P119" s="84">
        <f t="shared" si="50"/>
        <v>0</v>
      </c>
      <c r="Q119" s="84">
        <f t="shared" si="50"/>
        <v>0</v>
      </c>
      <c r="R119" s="84">
        <f t="shared" si="50"/>
        <v>0</v>
      </c>
      <c r="S119" s="84">
        <f t="shared" si="50"/>
        <v>0</v>
      </c>
      <c r="T119" s="84">
        <f t="shared" si="49"/>
        <v>0</v>
      </c>
      <c r="U119" s="84">
        <f t="shared" si="49"/>
        <v>0</v>
      </c>
      <c r="V119" s="84">
        <f t="shared" si="49"/>
        <v>0</v>
      </c>
      <c r="W119" s="84">
        <f>SIS064_F_Kitoseinamojor5Elektrosenergi5</f>
        <v>0</v>
      </c>
      <c r="X119" s="84">
        <f>SUM(SIS062_F_Kitoseinamojor5Geriamojovande1,SIS063_F_Kitoseinamojor5Geriamojovande1,SIS065_F_Kitoseinamojor5Geriamojovande1)</f>
        <v>0</v>
      </c>
      <c r="Y119" s="84">
        <f>SUM(SIS062_F_Kitoseinamojor5Paslaugaproduk8,SIS063_F_Kitoseinamojor5Paslaugaproduk8,SIS065_F_Kitoseinamojor5Paslaugaproduk8)</f>
        <v>0</v>
      </c>
      <c r="Z119" s="84">
        <f>SIS064_F_Kitoseinamojor5Elektrosenergi6</f>
        <v>0</v>
      </c>
      <c r="AA119" s="84">
        <f>SUM(SIS062_F_Kitoseinamojor5Konkurencinesi1,SIS063_F_Kitoseinamojor5Konkurencinesi1,SIS065_F_Kitoseinamojor5Konkurencinesi1,)</f>
        <v>0</v>
      </c>
      <c r="AB119" s="84">
        <f>SUM(SIS062_F_Kitoseinamojor5Paslaugaproduk9,SIS063_F_Kitoseinamojor5Paslaugaproduk9,SIS065_F_Kitoseinamojor5Paslaugaproduk9)</f>
        <v>0</v>
      </c>
      <c r="AC119" s="85">
        <v>0</v>
      </c>
      <c r="AD119" s="86">
        <v>0</v>
      </c>
      <c r="AE119" s="86">
        <v>0</v>
      </c>
      <c r="AF119" s="86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8">
        <v>0</v>
      </c>
      <c r="AV119" s="85">
        <v>0</v>
      </c>
      <c r="AW119" s="86">
        <v>0</v>
      </c>
      <c r="AX119" s="86">
        <v>0</v>
      </c>
      <c r="AY119" s="86">
        <v>0</v>
      </c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8"/>
      <c r="BO119" s="85"/>
      <c r="BP119" s="86"/>
      <c r="BQ119" s="86"/>
      <c r="BR119" s="86"/>
      <c r="BS119" s="87"/>
      <c r="BT119" s="87"/>
      <c r="BU119" s="87"/>
      <c r="BV119" s="87"/>
      <c r="BW119" s="87"/>
      <c r="BX119" s="87"/>
      <c r="BY119" s="87"/>
      <c r="BZ119" s="87"/>
      <c r="CA119" s="87"/>
      <c r="CB119" s="87"/>
      <c r="CC119" s="87"/>
      <c r="CD119" s="87"/>
      <c r="CE119" s="87"/>
      <c r="CF119" s="87"/>
      <c r="CG119" s="88"/>
      <c r="CH119" s="85"/>
      <c r="CI119" s="86"/>
      <c r="CJ119" s="86"/>
      <c r="CK119" s="86"/>
      <c r="CL119" s="87"/>
      <c r="CM119" s="87"/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8"/>
      <c r="DA119" s="85"/>
      <c r="DB119" s="86"/>
      <c r="DC119" s="86"/>
      <c r="DD119" s="86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8"/>
      <c r="DT119" s="85"/>
      <c r="DU119" s="86"/>
      <c r="DV119" s="86"/>
      <c r="DW119" s="86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8"/>
      <c r="EM119" s="85"/>
      <c r="EN119" s="86"/>
      <c r="EO119" s="86"/>
      <c r="EP119" s="86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9"/>
    </row>
    <row r="120" spans="2:161" s="6" customFormat="1" ht="13.2">
      <c r="B120" s="93" t="s">
        <v>218</v>
      </c>
      <c r="C120" s="104" t="s">
        <v>219</v>
      </c>
      <c r="D120" s="106">
        <f t="shared" ref="D120:BO120" si="51">SUM(D121:D132)</f>
        <v>951740.40999999992</v>
      </c>
      <c r="E120" s="95">
        <f t="shared" si="51"/>
        <v>601598.81449331867</v>
      </c>
      <c r="F120" s="96">
        <f t="shared" si="51"/>
        <v>0</v>
      </c>
      <c r="G120" s="96">
        <f t="shared" si="51"/>
        <v>0</v>
      </c>
      <c r="H120" s="96">
        <f t="shared" si="51"/>
        <v>0</v>
      </c>
      <c r="I120" s="97">
        <f t="shared" si="51"/>
        <v>0</v>
      </c>
      <c r="J120" s="97">
        <f t="shared" si="51"/>
        <v>187248.92853671653</v>
      </c>
      <c r="K120" s="97">
        <f t="shared" si="51"/>
        <v>0</v>
      </c>
      <c r="L120" s="97">
        <f t="shared" si="51"/>
        <v>0</v>
      </c>
      <c r="M120" s="97">
        <f t="shared" si="51"/>
        <v>34115.603020627837</v>
      </c>
      <c r="N120" s="97">
        <f t="shared" si="51"/>
        <v>22711.326086632154</v>
      </c>
      <c r="O120" s="97">
        <f t="shared" si="51"/>
        <v>0</v>
      </c>
      <c r="P120" s="97">
        <f t="shared" si="51"/>
        <v>25117.806870293913</v>
      </c>
      <c r="Q120" s="97">
        <f t="shared" si="51"/>
        <v>0</v>
      </c>
      <c r="R120" s="97">
        <f t="shared" si="51"/>
        <v>0</v>
      </c>
      <c r="S120" s="97">
        <f t="shared" si="51"/>
        <v>79503.383551866238</v>
      </c>
      <c r="T120" s="97">
        <f t="shared" si="51"/>
        <v>0</v>
      </c>
      <c r="U120" s="97">
        <f t="shared" si="51"/>
        <v>0</v>
      </c>
      <c r="V120" s="97">
        <f t="shared" si="51"/>
        <v>0</v>
      </c>
      <c r="W120" s="97">
        <f t="shared" si="51"/>
        <v>0</v>
      </c>
      <c r="X120" s="97">
        <f t="shared" si="51"/>
        <v>0</v>
      </c>
      <c r="Y120" s="97">
        <f t="shared" si="51"/>
        <v>0</v>
      </c>
      <c r="Z120" s="97">
        <f t="shared" si="51"/>
        <v>0</v>
      </c>
      <c r="AA120" s="97">
        <f t="shared" si="51"/>
        <v>0</v>
      </c>
      <c r="AB120" s="97">
        <f t="shared" si="51"/>
        <v>1444.5474405446803</v>
      </c>
      <c r="AC120" s="98">
        <f t="shared" si="51"/>
        <v>601598.81449331867</v>
      </c>
      <c r="AD120" s="99">
        <f t="shared" si="51"/>
        <v>0</v>
      </c>
      <c r="AE120" s="99">
        <f t="shared" si="51"/>
        <v>0</v>
      </c>
      <c r="AF120" s="99">
        <f t="shared" si="51"/>
        <v>0</v>
      </c>
      <c r="AG120" s="100">
        <f t="shared" si="51"/>
        <v>0</v>
      </c>
      <c r="AH120" s="100">
        <f t="shared" si="51"/>
        <v>187248.92853671653</v>
      </c>
      <c r="AI120" s="100">
        <f t="shared" si="51"/>
        <v>0</v>
      </c>
      <c r="AJ120" s="100">
        <f t="shared" si="51"/>
        <v>0</v>
      </c>
      <c r="AK120" s="100">
        <f t="shared" si="51"/>
        <v>34115.603020627837</v>
      </c>
      <c r="AL120" s="100">
        <f t="shared" si="51"/>
        <v>22711.326086632154</v>
      </c>
      <c r="AM120" s="100">
        <f t="shared" si="51"/>
        <v>0</v>
      </c>
      <c r="AN120" s="100">
        <f t="shared" si="51"/>
        <v>25117.806870293913</v>
      </c>
      <c r="AO120" s="100">
        <f t="shared" si="51"/>
        <v>0</v>
      </c>
      <c r="AP120" s="100">
        <f t="shared" si="51"/>
        <v>0</v>
      </c>
      <c r="AQ120" s="100">
        <f t="shared" si="51"/>
        <v>79503.383551866238</v>
      </c>
      <c r="AR120" s="100">
        <f t="shared" si="51"/>
        <v>0</v>
      </c>
      <c r="AS120" s="100">
        <f t="shared" si="51"/>
        <v>0</v>
      </c>
      <c r="AT120" s="100">
        <f t="shared" si="51"/>
        <v>0</v>
      </c>
      <c r="AU120" s="97">
        <f t="shared" si="51"/>
        <v>0</v>
      </c>
      <c r="AV120" s="98">
        <f t="shared" si="51"/>
        <v>0</v>
      </c>
      <c r="AW120" s="99">
        <f t="shared" si="51"/>
        <v>0</v>
      </c>
      <c r="AX120" s="99">
        <f t="shared" si="51"/>
        <v>0</v>
      </c>
      <c r="AY120" s="99">
        <f t="shared" si="51"/>
        <v>0</v>
      </c>
      <c r="AZ120" s="100">
        <f t="shared" si="51"/>
        <v>0</v>
      </c>
      <c r="BA120" s="100">
        <f t="shared" si="51"/>
        <v>0</v>
      </c>
      <c r="BB120" s="100">
        <f t="shared" si="51"/>
        <v>0</v>
      </c>
      <c r="BC120" s="100">
        <f t="shared" si="51"/>
        <v>0</v>
      </c>
      <c r="BD120" s="100">
        <f t="shared" si="51"/>
        <v>0</v>
      </c>
      <c r="BE120" s="100">
        <f t="shared" si="51"/>
        <v>0</v>
      </c>
      <c r="BF120" s="100">
        <f t="shared" si="51"/>
        <v>0</v>
      </c>
      <c r="BG120" s="100">
        <f t="shared" si="51"/>
        <v>0</v>
      </c>
      <c r="BH120" s="100">
        <f t="shared" si="51"/>
        <v>0</v>
      </c>
      <c r="BI120" s="100">
        <f t="shared" si="51"/>
        <v>0</v>
      </c>
      <c r="BJ120" s="100">
        <f t="shared" si="51"/>
        <v>0</v>
      </c>
      <c r="BK120" s="100">
        <f t="shared" si="51"/>
        <v>0</v>
      </c>
      <c r="BL120" s="100">
        <f t="shared" si="51"/>
        <v>0</v>
      </c>
      <c r="BM120" s="100">
        <f t="shared" si="51"/>
        <v>0</v>
      </c>
      <c r="BN120" s="97">
        <f t="shared" si="51"/>
        <v>0</v>
      </c>
      <c r="BO120" s="98">
        <f t="shared" si="51"/>
        <v>0</v>
      </c>
      <c r="BP120" s="99">
        <f t="shared" ref="BP120:EA120" si="52">SUM(BP121:BP132)</f>
        <v>0</v>
      </c>
      <c r="BQ120" s="99">
        <f t="shared" si="52"/>
        <v>0</v>
      </c>
      <c r="BR120" s="99">
        <f t="shared" si="52"/>
        <v>0</v>
      </c>
      <c r="BS120" s="100">
        <f t="shared" si="52"/>
        <v>0</v>
      </c>
      <c r="BT120" s="100">
        <f t="shared" si="52"/>
        <v>0</v>
      </c>
      <c r="BU120" s="100">
        <f t="shared" si="52"/>
        <v>0</v>
      </c>
      <c r="BV120" s="100">
        <f t="shared" si="52"/>
        <v>0</v>
      </c>
      <c r="BW120" s="100">
        <f t="shared" si="52"/>
        <v>0</v>
      </c>
      <c r="BX120" s="100">
        <f t="shared" si="52"/>
        <v>0</v>
      </c>
      <c r="BY120" s="100">
        <f t="shared" si="52"/>
        <v>0</v>
      </c>
      <c r="BZ120" s="100">
        <f t="shared" si="52"/>
        <v>0</v>
      </c>
      <c r="CA120" s="100">
        <f t="shared" si="52"/>
        <v>0</v>
      </c>
      <c r="CB120" s="100">
        <f t="shared" si="52"/>
        <v>0</v>
      </c>
      <c r="CC120" s="100">
        <f t="shared" si="52"/>
        <v>0</v>
      </c>
      <c r="CD120" s="100">
        <f t="shared" si="52"/>
        <v>0</v>
      </c>
      <c r="CE120" s="100">
        <f t="shared" si="52"/>
        <v>0</v>
      </c>
      <c r="CF120" s="100">
        <f t="shared" si="52"/>
        <v>0</v>
      </c>
      <c r="CG120" s="97">
        <f t="shared" si="52"/>
        <v>0</v>
      </c>
      <c r="CH120" s="98">
        <f t="shared" si="52"/>
        <v>0</v>
      </c>
      <c r="CI120" s="99">
        <f t="shared" si="52"/>
        <v>0</v>
      </c>
      <c r="CJ120" s="99">
        <f t="shared" si="52"/>
        <v>0</v>
      </c>
      <c r="CK120" s="99">
        <f t="shared" si="52"/>
        <v>0</v>
      </c>
      <c r="CL120" s="100">
        <f t="shared" si="52"/>
        <v>0</v>
      </c>
      <c r="CM120" s="100">
        <f t="shared" si="52"/>
        <v>0</v>
      </c>
      <c r="CN120" s="100">
        <f t="shared" si="52"/>
        <v>0</v>
      </c>
      <c r="CO120" s="100">
        <f t="shared" si="52"/>
        <v>0</v>
      </c>
      <c r="CP120" s="100">
        <f t="shared" si="52"/>
        <v>0</v>
      </c>
      <c r="CQ120" s="100">
        <f t="shared" si="52"/>
        <v>0</v>
      </c>
      <c r="CR120" s="100">
        <f t="shared" si="52"/>
        <v>0</v>
      </c>
      <c r="CS120" s="100">
        <f t="shared" si="52"/>
        <v>0</v>
      </c>
      <c r="CT120" s="100">
        <f t="shared" si="52"/>
        <v>0</v>
      </c>
      <c r="CU120" s="100">
        <f t="shared" si="52"/>
        <v>0</v>
      </c>
      <c r="CV120" s="100">
        <f t="shared" si="52"/>
        <v>0</v>
      </c>
      <c r="CW120" s="100">
        <f t="shared" si="52"/>
        <v>0</v>
      </c>
      <c r="CX120" s="100">
        <f t="shared" si="52"/>
        <v>0</v>
      </c>
      <c r="CY120" s="100">
        <f t="shared" si="52"/>
        <v>0</v>
      </c>
      <c r="CZ120" s="97">
        <f t="shared" si="52"/>
        <v>0</v>
      </c>
      <c r="DA120" s="98">
        <f t="shared" si="52"/>
        <v>0</v>
      </c>
      <c r="DB120" s="99">
        <f t="shared" si="52"/>
        <v>0</v>
      </c>
      <c r="DC120" s="99">
        <f t="shared" si="52"/>
        <v>0</v>
      </c>
      <c r="DD120" s="99">
        <f t="shared" si="52"/>
        <v>0</v>
      </c>
      <c r="DE120" s="100">
        <f t="shared" si="52"/>
        <v>0</v>
      </c>
      <c r="DF120" s="100">
        <f t="shared" si="52"/>
        <v>0</v>
      </c>
      <c r="DG120" s="100">
        <f t="shared" si="52"/>
        <v>0</v>
      </c>
      <c r="DH120" s="100">
        <f t="shared" si="52"/>
        <v>0</v>
      </c>
      <c r="DI120" s="100">
        <f t="shared" si="52"/>
        <v>0</v>
      </c>
      <c r="DJ120" s="100">
        <f t="shared" si="52"/>
        <v>0</v>
      </c>
      <c r="DK120" s="100">
        <f t="shared" si="52"/>
        <v>0</v>
      </c>
      <c r="DL120" s="100">
        <f t="shared" si="52"/>
        <v>0</v>
      </c>
      <c r="DM120" s="100">
        <f t="shared" si="52"/>
        <v>0</v>
      </c>
      <c r="DN120" s="100">
        <f t="shared" si="52"/>
        <v>0</v>
      </c>
      <c r="DO120" s="100">
        <f t="shared" si="52"/>
        <v>0</v>
      </c>
      <c r="DP120" s="100">
        <f t="shared" si="52"/>
        <v>0</v>
      </c>
      <c r="DQ120" s="100">
        <f t="shared" si="52"/>
        <v>0</v>
      </c>
      <c r="DR120" s="100">
        <f t="shared" si="52"/>
        <v>0</v>
      </c>
      <c r="DS120" s="97">
        <f t="shared" si="52"/>
        <v>0</v>
      </c>
      <c r="DT120" s="98">
        <f t="shared" si="52"/>
        <v>0</v>
      </c>
      <c r="DU120" s="99">
        <f t="shared" si="52"/>
        <v>0</v>
      </c>
      <c r="DV120" s="99">
        <f t="shared" si="52"/>
        <v>0</v>
      </c>
      <c r="DW120" s="99">
        <f t="shared" si="52"/>
        <v>0</v>
      </c>
      <c r="DX120" s="100">
        <f t="shared" si="52"/>
        <v>0</v>
      </c>
      <c r="DY120" s="100">
        <f t="shared" si="52"/>
        <v>0</v>
      </c>
      <c r="DZ120" s="100">
        <f t="shared" si="52"/>
        <v>0</v>
      </c>
      <c r="EA120" s="100">
        <f t="shared" si="52"/>
        <v>0</v>
      </c>
      <c r="EB120" s="100">
        <f t="shared" ref="EB120:GP120" si="53">SUM(EB121:EB132)</f>
        <v>0</v>
      </c>
      <c r="EC120" s="100">
        <f t="shared" si="53"/>
        <v>0</v>
      </c>
      <c r="ED120" s="100">
        <f t="shared" si="53"/>
        <v>0</v>
      </c>
      <c r="EE120" s="100">
        <f t="shared" si="53"/>
        <v>0</v>
      </c>
      <c r="EF120" s="100">
        <f t="shared" si="53"/>
        <v>0</v>
      </c>
      <c r="EG120" s="100">
        <f t="shared" si="53"/>
        <v>0</v>
      </c>
      <c r="EH120" s="100">
        <f t="shared" si="53"/>
        <v>0</v>
      </c>
      <c r="EI120" s="100">
        <f t="shared" si="53"/>
        <v>0</v>
      </c>
      <c r="EJ120" s="100">
        <f t="shared" si="53"/>
        <v>0</v>
      </c>
      <c r="EK120" s="100">
        <f t="shared" si="53"/>
        <v>0</v>
      </c>
      <c r="EL120" s="97">
        <f t="shared" si="53"/>
        <v>0</v>
      </c>
      <c r="EM120" s="98">
        <f t="shared" si="53"/>
        <v>0</v>
      </c>
      <c r="EN120" s="99">
        <f t="shared" si="53"/>
        <v>0</v>
      </c>
      <c r="EO120" s="99">
        <f t="shared" si="53"/>
        <v>0</v>
      </c>
      <c r="EP120" s="99">
        <f t="shared" si="53"/>
        <v>0</v>
      </c>
      <c r="EQ120" s="100">
        <f t="shared" si="53"/>
        <v>0</v>
      </c>
      <c r="ER120" s="100">
        <f t="shared" si="53"/>
        <v>0</v>
      </c>
      <c r="ES120" s="100">
        <f t="shared" si="53"/>
        <v>0</v>
      </c>
      <c r="ET120" s="100">
        <f t="shared" si="53"/>
        <v>0</v>
      </c>
      <c r="EU120" s="100">
        <f t="shared" si="53"/>
        <v>0</v>
      </c>
      <c r="EV120" s="100">
        <f t="shared" si="53"/>
        <v>0</v>
      </c>
      <c r="EW120" s="100">
        <f t="shared" si="53"/>
        <v>0</v>
      </c>
      <c r="EX120" s="100">
        <f t="shared" si="53"/>
        <v>0</v>
      </c>
      <c r="EY120" s="100">
        <f t="shared" si="53"/>
        <v>0</v>
      </c>
      <c r="EZ120" s="100">
        <f t="shared" si="53"/>
        <v>0</v>
      </c>
      <c r="FA120" s="100">
        <f t="shared" si="53"/>
        <v>0</v>
      </c>
      <c r="FB120" s="100">
        <f t="shared" si="53"/>
        <v>0</v>
      </c>
      <c r="FC120" s="100">
        <f t="shared" si="53"/>
        <v>0</v>
      </c>
      <c r="FD120" s="100">
        <f t="shared" si="53"/>
        <v>0</v>
      </c>
      <c r="FE120" s="101">
        <f t="shared" si="53"/>
        <v>0</v>
      </c>
    </row>
    <row r="121" spans="2:161" s="6" customFormat="1" ht="26.4">
      <c r="B121" s="108" t="s">
        <v>220</v>
      </c>
      <c r="C121" s="110" t="s">
        <v>221</v>
      </c>
      <c r="D121" s="81">
        <f t="shared" ref="D121:D132" si="54">SUM(E121:AB121)</f>
        <v>724077.22</v>
      </c>
      <c r="E121" s="82">
        <f t="shared" ref="E121:T132" si="55">SUM(AC121,AV121,BO121,CH121,DA121,DT121,EM121)</f>
        <v>454130.06</v>
      </c>
      <c r="F121" s="83">
        <f t="shared" si="55"/>
        <v>0</v>
      </c>
      <c r="G121" s="83">
        <f t="shared" si="55"/>
        <v>0</v>
      </c>
      <c r="H121" s="83">
        <f t="shared" si="55"/>
        <v>0</v>
      </c>
      <c r="I121" s="84">
        <f t="shared" si="55"/>
        <v>0</v>
      </c>
      <c r="J121" s="84">
        <f t="shared" si="55"/>
        <v>143219.54</v>
      </c>
      <c r="K121" s="84">
        <f t="shared" si="55"/>
        <v>0</v>
      </c>
      <c r="L121" s="84">
        <f t="shared" si="55"/>
        <v>0</v>
      </c>
      <c r="M121" s="84">
        <f t="shared" si="55"/>
        <v>27211.41</v>
      </c>
      <c r="N121" s="84">
        <f t="shared" si="55"/>
        <v>17109.82</v>
      </c>
      <c r="O121" s="84">
        <f t="shared" si="55"/>
        <v>0</v>
      </c>
      <c r="P121" s="84">
        <f t="shared" si="55"/>
        <v>20406.12</v>
      </c>
      <c r="Q121" s="84">
        <f t="shared" si="55"/>
        <v>0</v>
      </c>
      <c r="R121" s="84">
        <f t="shared" si="55"/>
        <v>0</v>
      </c>
      <c r="S121" s="84">
        <f t="shared" si="55"/>
        <v>62000.27</v>
      </c>
      <c r="T121" s="84">
        <f t="shared" si="55"/>
        <v>0</v>
      </c>
      <c r="U121" s="84">
        <f t="shared" ref="U121:V132" si="56">SUM(AS121,BL121,CE121,CX121,DQ121,EJ121,FC121)</f>
        <v>0</v>
      </c>
      <c r="V121" s="84">
        <f t="shared" si="56"/>
        <v>0</v>
      </c>
      <c r="W121" s="84">
        <f>SIS064_F_Darbouzmokesci1Elektrosenergi5</f>
        <v>0</v>
      </c>
      <c r="X121" s="84">
        <f>SUM(SIS062_F_Darbouzmokesci1Geriamojovande1,SIS063_F_Darbouzmokesci1Geriamojovande1,SIS065_F_Darbouzmokesci1Geriamojovande1)</f>
        <v>0</v>
      </c>
      <c r="Y121" s="84">
        <f>SUM(SIS062_F_Darbouzmokesci1Paslaugaproduk8,SIS063_F_Darbouzmokesci1Paslaugaproduk8,SIS065_F_Darbouzmokesci1Paslaugaproduk8)</f>
        <v>0</v>
      </c>
      <c r="Z121" s="84">
        <f>SIS064_F_Darbouzmokesci1Elektrosenergi6</f>
        <v>0</v>
      </c>
      <c r="AA121" s="84">
        <f>SUM(SIS062_F_Darbouzmokesci1Konkurencinesi1,SIS063_F_Darbouzmokesci1Konkurencinesi1,SIS065_F_Darbouzmokesci1Konkurencinesi1,)</f>
        <v>0</v>
      </c>
      <c r="AB121" s="84">
        <f>SUM(SIS062_F_Darbouzmokesci1Paslaugaproduk9,SIS063_F_Darbouzmokesci1Paslaugaproduk9,SIS065_F_Darbouzmokesci1Paslaugaproduk9)</f>
        <v>0</v>
      </c>
      <c r="AC121" s="85">
        <v>454130.06</v>
      </c>
      <c r="AD121" s="86">
        <v>0</v>
      </c>
      <c r="AE121" s="86">
        <v>0</v>
      </c>
      <c r="AF121" s="86">
        <v>0</v>
      </c>
      <c r="AG121" s="87">
        <v>0</v>
      </c>
      <c r="AH121" s="87">
        <v>143219.54</v>
      </c>
      <c r="AI121" s="87">
        <v>0</v>
      </c>
      <c r="AJ121" s="87">
        <v>0</v>
      </c>
      <c r="AK121" s="87">
        <v>27211.41</v>
      </c>
      <c r="AL121" s="87">
        <v>17109.82</v>
      </c>
      <c r="AM121" s="87">
        <v>0</v>
      </c>
      <c r="AN121" s="87">
        <v>20406.12</v>
      </c>
      <c r="AO121" s="87">
        <v>0</v>
      </c>
      <c r="AP121" s="87">
        <v>0</v>
      </c>
      <c r="AQ121" s="87">
        <v>62000.27</v>
      </c>
      <c r="AR121" s="87">
        <v>0</v>
      </c>
      <c r="AS121" s="87">
        <v>0</v>
      </c>
      <c r="AT121" s="87">
        <v>0</v>
      </c>
      <c r="AU121" s="88">
        <v>0</v>
      </c>
      <c r="AV121" s="85">
        <v>0</v>
      </c>
      <c r="AW121" s="86">
        <v>0</v>
      </c>
      <c r="AX121" s="86">
        <v>0</v>
      </c>
      <c r="AY121" s="86">
        <v>0</v>
      </c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8"/>
      <c r="BO121" s="85"/>
      <c r="BP121" s="86"/>
      <c r="BQ121" s="86"/>
      <c r="BR121" s="86"/>
      <c r="BS121" s="87"/>
      <c r="BT121" s="87"/>
      <c r="BU121" s="87"/>
      <c r="BV121" s="87"/>
      <c r="BW121" s="87"/>
      <c r="BX121" s="87"/>
      <c r="BY121" s="87"/>
      <c r="BZ121" s="87"/>
      <c r="CA121" s="87"/>
      <c r="CB121" s="87"/>
      <c r="CC121" s="87"/>
      <c r="CD121" s="87"/>
      <c r="CE121" s="87"/>
      <c r="CF121" s="87"/>
      <c r="CG121" s="88"/>
      <c r="CH121" s="85"/>
      <c r="CI121" s="86"/>
      <c r="CJ121" s="86"/>
      <c r="CK121" s="86"/>
      <c r="CL121" s="87"/>
      <c r="CM121" s="87"/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8"/>
      <c r="DA121" s="85"/>
      <c r="DB121" s="86"/>
      <c r="DC121" s="86"/>
      <c r="DD121" s="86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8"/>
      <c r="DT121" s="85"/>
      <c r="DU121" s="86"/>
      <c r="DV121" s="86"/>
      <c r="DW121" s="86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87"/>
      <c r="EJ121" s="87"/>
      <c r="EK121" s="87"/>
      <c r="EL121" s="88"/>
      <c r="EM121" s="85"/>
      <c r="EN121" s="86"/>
      <c r="EO121" s="86"/>
      <c r="EP121" s="86"/>
      <c r="EQ121" s="87"/>
      <c r="ER121" s="87"/>
      <c r="ES121" s="87"/>
      <c r="ET121" s="87"/>
      <c r="EU121" s="87"/>
      <c r="EV121" s="87"/>
      <c r="EW121" s="87"/>
      <c r="EX121" s="87"/>
      <c r="EY121" s="87"/>
      <c r="EZ121" s="87"/>
      <c r="FA121" s="87"/>
      <c r="FB121" s="87"/>
      <c r="FC121" s="87"/>
      <c r="FD121" s="87"/>
      <c r="FE121" s="89"/>
    </row>
    <row r="122" spans="2:161" s="6" customFormat="1" ht="13.2">
      <c r="B122" s="108" t="s">
        <v>222</v>
      </c>
      <c r="C122" s="109" t="s">
        <v>223</v>
      </c>
      <c r="D122" s="81">
        <f t="shared" si="54"/>
        <v>22416.82</v>
      </c>
      <c r="E122" s="82">
        <f t="shared" si="55"/>
        <v>14424.902194075838</v>
      </c>
      <c r="F122" s="83">
        <f t="shared" si="55"/>
        <v>0</v>
      </c>
      <c r="G122" s="83">
        <f t="shared" si="55"/>
        <v>0</v>
      </c>
      <c r="H122" s="83">
        <f t="shared" si="55"/>
        <v>0</v>
      </c>
      <c r="I122" s="84">
        <f t="shared" si="55"/>
        <v>0</v>
      </c>
      <c r="J122" s="84">
        <f t="shared" si="55"/>
        <v>4272.6043258321852</v>
      </c>
      <c r="K122" s="84">
        <f t="shared" si="55"/>
        <v>0</v>
      </c>
      <c r="L122" s="84">
        <f t="shared" si="55"/>
        <v>0</v>
      </c>
      <c r="M122" s="84">
        <f t="shared" si="55"/>
        <v>813.62041129953525</v>
      </c>
      <c r="N122" s="84">
        <f t="shared" si="55"/>
        <v>539.77524374313441</v>
      </c>
      <c r="O122" s="84">
        <f t="shared" si="55"/>
        <v>0</v>
      </c>
      <c r="P122" s="84">
        <f t="shared" si="55"/>
        <v>558.12635568214364</v>
      </c>
      <c r="Q122" s="84">
        <f t="shared" si="55"/>
        <v>0</v>
      </c>
      <c r="R122" s="84">
        <f t="shared" si="55"/>
        <v>0</v>
      </c>
      <c r="S122" s="84">
        <f t="shared" si="55"/>
        <v>1773.2483583274336</v>
      </c>
      <c r="T122" s="84">
        <f t="shared" si="55"/>
        <v>0</v>
      </c>
      <c r="U122" s="84">
        <f t="shared" si="56"/>
        <v>0</v>
      </c>
      <c r="V122" s="84">
        <f t="shared" si="56"/>
        <v>0</v>
      </c>
      <c r="W122" s="84">
        <f>SIS064_F_Darbdavioimoku1Elektrosenergi5</f>
        <v>0</v>
      </c>
      <c r="X122" s="84">
        <f>SUM(SIS062_F_Darbdavioimoku1Geriamojovande1,SIS063_F_Darbdavioimoku1Geriamojovande1,SIS065_F_Darbdavioimoku1Geriamojovande1)</f>
        <v>0</v>
      </c>
      <c r="Y122" s="84">
        <f>SUM(SIS062_F_Darbdavioimoku1Paslaugaproduk8,SIS063_F_Darbdavioimoku1Paslaugaproduk8,SIS065_F_Darbdavioimoku1Paslaugaproduk8)</f>
        <v>0</v>
      </c>
      <c r="Z122" s="84">
        <f>SIS064_F_Darbdavioimoku1Elektrosenergi6</f>
        <v>0</v>
      </c>
      <c r="AA122" s="84">
        <f>SUM(SIS062_F_Darbdavioimoku1Konkurencinesi1,SIS063_F_Darbdavioimoku1Konkurencinesi1,SIS065_F_Darbdavioimoku1Konkurencinesi1,)</f>
        <v>0</v>
      </c>
      <c r="AB122" s="84">
        <f>SUM(SIS062_F_Darbdavioimoku1Paslaugaproduk9,SIS063_F_Darbdavioimoku1Paslaugaproduk9,SIS065_F_Darbdavioimoku1Paslaugaproduk9)</f>
        <v>34.54311103972897</v>
      </c>
      <c r="AC122" s="85">
        <v>14424.902194075838</v>
      </c>
      <c r="AD122" s="86">
        <v>0</v>
      </c>
      <c r="AE122" s="86">
        <v>0</v>
      </c>
      <c r="AF122" s="86">
        <v>0</v>
      </c>
      <c r="AG122" s="87">
        <v>0</v>
      </c>
      <c r="AH122" s="87">
        <v>4272.6043258321852</v>
      </c>
      <c r="AI122" s="87">
        <v>0</v>
      </c>
      <c r="AJ122" s="87">
        <v>0</v>
      </c>
      <c r="AK122" s="87">
        <v>813.62041129953525</v>
      </c>
      <c r="AL122" s="87">
        <v>539.77524374313441</v>
      </c>
      <c r="AM122" s="87">
        <v>0</v>
      </c>
      <c r="AN122" s="87">
        <v>558.12635568214364</v>
      </c>
      <c r="AO122" s="87">
        <v>0</v>
      </c>
      <c r="AP122" s="87">
        <v>0</v>
      </c>
      <c r="AQ122" s="87">
        <v>1773.2483583274336</v>
      </c>
      <c r="AR122" s="87">
        <v>0</v>
      </c>
      <c r="AS122" s="87">
        <v>0</v>
      </c>
      <c r="AT122" s="87">
        <v>0</v>
      </c>
      <c r="AU122" s="88">
        <v>0</v>
      </c>
      <c r="AV122" s="85">
        <v>0</v>
      </c>
      <c r="AW122" s="86">
        <v>0</v>
      </c>
      <c r="AX122" s="86">
        <v>0</v>
      </c>
      <c r="AY122" s="86">
        <v>0</v>
      </c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8"/>
      <c r="BO122" s="85"/>
      <c r="BP122" s="86"/>
      <c r="BQ122" s="86"/>
      <c r="BR122" s="86"/>
      <c r="BS122" s="87"/>
      <c r="BT122" s="87"/>
      <c r="BU122" s="87"/>
      <c r="BV122" s="87"/>
      <c r="BW122" s="87"/>
      <c r="BX122" s="87"/>
      <c r="BY122" s="87"/>
      <c r="BZ122" s="87"/>
      <c r="CA122" s="87"/>
      <c r="CB122" s="87"/>
      <c r="CC122" s="87"/>
      <c r="CD122" s="87"/>
      <c r="CE122" s="87"/>
      <c r="CF122" s="87"/>
      <c r="CG122" s="88"/>
      <c r="CH122" s="85"/>
      <c r="CI122" s="86"/>
      <c r="CJ122" s="86"/>
      <c r="CK122" s="86"/>
      <c r="CL122" s="87"/>
      <c r="CM122" s="87"/>
      <c r="CN122" s="87"/>
      <c r="CO122" s="87"/>
      <c r="CP122" s="87"/>
      <c r="CQ122" s="87"/>
      <c r="CR122" s="87"/>
      <c r="CS122" s="87"/>
      <c r="CT122" s="87"/>
      <c r="CU122" s="87"/>
      <c r="CV122" s="87"/>
      <c r="CW122" s="87"/>
      <c r="CX122" s="87"/>
      <c r="CY122" s="87"/>
      <c r="CZ122" s="88"/>
      <c r="DA122" s="85"/>
      <c r="DB122" s="86"/>
      <c r="DC122" s="86"/>
      <c r="DD122" s="86"/>
      <c r="DE122" s="87"/>
      <c r="DF122" s="87"/>
      <c r="DG122" s="87"/>
      <c r="DH122" s="87"/>
      <c r="DI122" s="87"/>
      <c r="DJ122" s="87"/>
      <c r="DK122" s="87"/>
      <c r="DL122" s="87"/>
      <c r="DM122" s="87"/>
      <c r="DN122" s="87"/>
      <c r="DO122" s="87"/>
      <c r="DP122" s="87"/>
      <c r="DQ122" s="87"/>
      <c r="DR122" s="87"/>
      <c r="DS122" s="88"/>
      <c r="DT122" s="85"/>
      <c r="DU122" s="86"/>
      <c r="DV122" s="86"/>
      <c r="DW122" s="86"/>
      <c r="DX122" s="87"/>
      <c r="DY122" s="87"/>
      <c r="DZ122" s="87"/>
      <c r="EA122" s="87"/>
      <c r="EB122" s="87"/>
      <c r="EC122" s="87"/>
      <c r="ED122" s="87"/>
      <c r="EE122" s="87"/>
      <c r="EF122" s="87"/>
      <c r="EG122" s="87"/>
      <c r="EH122" s="87"/>
      <c r="EI122" s="87"/>
      <c r="EJ122" s="87"/>
      <c r="EK122" s="87"/>
      <c r="EL122" s="88"/>
      <c r="EM122" s="85"/>
      <c r="EN122" s="86"/>
      <c r="EO122" s="86"/>
      <c r="EP122" s="86"/>
      <c r="EQ122" s="87"/>
      <c r="ER122" s="87"/>
      <c r="ES122" s="87"/>
      <c r="ET122" s="87"/>
      <c r="EU122" s="87"/>
      <c r="EV122" s="87"/>
      <c r="EW122" s="87"/>
      <c r="EX122" s="87"/>
      <c r="EY122" s="87"/>
      <c r="EZ122" s="87"/>
      <c r="FA122" s="87"/>
      <c r="FB122" s="87"/>
      <c r="FC122" s="87"/>
      <c r="FD122" s="87"/>
      <c r="FE122" s="89"/>
    </row>
    <row r="123" spans="2:161" s="6" customFormat="1" ht="13.2">
      <c r="B123" s="108" t="s">
        <v>224</v>
      </c>
      <c r="C123" s="110" t="s">
        <v>225</v>
      </c>
      <c r="D123" s="81">
        <f t="shared" si="54"/>
        <v>308.75</v>
      </c>
      <c r="E123" s="82">
        <f t="shared" si="55"/>
        <v>198.88277269910407</v>
      </c>
      <c r="F123" s="83">
        <f t="shared" si="55"/>
        <v>0</v>
      </c>
      <c r="G123" s="83">
        <f t="shared" si="55"/>
        <v>0</v>
      </c>
      <c r="H123" s="83">
        <f t="shared" si="55"/>
        <v>0</v>
      </c>
      <c r="I123" s="84">
        <f t="shared" si="55"/>
        <v>0</v>
      </c>
      <c r="J123" s="84">
        <f t="shared" si="55"/>
        <v>60.9068478178067</v>
      </c>
      <c r="K123" s="84">
        <f t="shared" si="55"/>
        <v>0</v>
      </c>
      <c r="L123" s="84">
        <f t="shared" si="55"/>
        <v>0</v>
      </c>
      <c r="M123" s="84">
        <f t="shared" si="55"/>
        <v>9.3916201840318649</v>
      </c>
      <c r="N123" s="84">
        <f t="shared" si="55"/>
        <v>7.8051534066607058</v>
      </c>
      <c r="O123" s="84">
        <f t="shared" si="55"/>
        <v>0</v>
      </c>
      <c r="P123" s="84">
        <f t="shared" si="55"/>
        <v>6.4047611393516908</v>
      </c>
      <c r="Q123" s="84">
        <f t="shared" si="55"/>
        <v>0</v>
      </c>
      <c r="R123" s="84">
        <f t="shared" si="55"/>
        <v>0</v>
      </c>
      <c r="S123" s="84">
        <f t="shared" si="55"/>
        <v>23.18462798067296</v>
      </c>
      <c r="T123" s="84">
        <f t="shared" si="55"/>
        <v>0</v>
      </c>
      <c r="U123" s="84">
        <f t="shared" si="56"/>
        <v>0</v>
      </c>
      <c r="V123" s="84">
        <f t="shared" si="56"/>
        <v>0</v>
      </c>
      <c r="W123" s="84">
        <f>SIS064_F_Papildomodarbu1Elektrosenergi5</f>
        <v>0</v>
      </c>
      <c r="X123" s="84">
        <f>SUM(SIS062_F_Papildomodarbu1Geriamojovande1,SIS063_F_Papildomodarbu1Geriamojovande1,SIS065_F_Papildomodarbu1Geriamojovande1)</f>
        <v>0</v>
      </c>
      <c r="Y123" s="84">
        <f>SUM(SIS062_F_Papildomodarbu1Paslaugaproduk8,SIS063_F_Papildomodarbu1Paslaugaproduk8,SIS065_F_Papildomodarbu1Paslaugaproduk8)</f>
        <v>0</v>
      </c>
      <c r="Z123" s="84">
        <f>SIS064_F_Papildomodarbu1Elektrosenergi6</f>
        <v>0</v>
      </c>
      <c r="AA123" s="84">
        <f>SUM(SIS062_F_Papildomodarbu1Konkurencinesi1,SIS063_F_Papildomodarbu1Konkurencinesi1,SIS065_F_Papildomodarbu1Konkurencinesi1,)</f>
        <v>0</v>
      </c>
      <c r="AB123" s="84">
        <f>SUM(SIS062_F_Papildomodarbu1Paslaugaproduk9,SIS063_F_Papildomodarbu1Paslaugaproduk9,SIS065_F_Papildomodarbu1Paslaugaproduk9)</f>
        <v>2.174216772371989</v>
      </c>
      <c r="AC123" s="85">
        <v>198.88277269910407</v>
      </c>
      <c r="AD123" s="86">
        <v>0</v>
      </c>
      <c r="AE123" s="86">
        <v>0</v>
      </c>
      <c r="AF123" s="86">
        <v>0</v>
      </c>
      <c r="AG123" s="87">
        <v>0</v>
      </c>
      <c r="AH123" s="87">
        <v>60.9068478178067</v>
      </c>
      <c r="AI123" s="87">
        <v>0</v>
      </c>
      <c r="AJ123" s="87">
        <v>0</v>
      </c>
      <c r="AK123" s="87">
        <v>9.3916201840318649</v>
      </c>
      <c r="AL123" s="87">
        <v>7.8051534066607058</v>
      </c>
      <c r="AM123" s="87">
        <v>0</v>
      </c>
      <c r="AN123" s="87">
        <v>6.4047611393516908</v>
      </c>
      <c r="AO123" s="87">
        <v>0</v>
      </c>
      <c r="AP123" s="87">
        <v>0</v>
      </c>
      <c r="AQ123" s="87">
        <v>23.18462798067296</v>
      </c>
      <c r="AR123" s="87">
        <v>0</v>
      </c>
      <c r="AS123" s="87">
        <v>0</v>
      </c>
      <c r="AT123" s="87">
        <v>0</v>
      </c>
      <c r="AU123" s="88">
        <v>0</v>
      </c>
      <c r="AV123" s="85">
        <v>0</v>
      </c>
      <c r="AW123" s="86">
        <v>0</v>
      </c>
      <c r="AX123" s="86">
        <v>0</v>
      </c>
      <c r="AY123" s="86">
        <v>0</v>
      </c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8"/>
      <c r="BO123" s="85"/>
      <c r="BP123" s="86"/>
      <c r="BQ123" s="86"/>
      <c r="BR123" s="86"/>
      <c r="BS123" s="87"/>
      <c r="BT123" s="87"/>
      <c r="BU123" s="87"/>
      <c r="BV123" s="87"/>
      <c r="BW123" s="87"/>
      <c r="BX123" s="87"/>
      <c r="BY123" s="87"/>
      <c r="BZ123" s="87"/>
      <c r="CA123" s="87"/>
      <c r="CB123" s="87"/>
      <c r="CC123" s="87"/>
      <c r="CD123" s="87"/>
      <c r="CE123" s="87"/>
      <c r="CF123" s="87"/>
      <c r="CG123" s="88"/>
      <c r="CH123" s="85"/>
      <c r="CI123" s="86"/>
      <c r="CJ123" s="86"/>
      <c r="CK123" s="86"/>
      <c r="CL123" s="87"/>
      <c r="CM123" s="87"/>
      <c r="CN123" s="87"/>
      <c r="CO123" s="87"/>
      <c r="CP123" s="87"/>
      <c r="CQ123" s="87"/>
      <c r="CR123" s="87"/>
      <c r="CS123" s="87"/>
      <c r="CT123" s="87"/>
      <c r="CU123" s="87"/>
      <c r="CV123" s="87"/>
      <c r="CW123" s="87"/>
      <c r="CX123" s="87"/>
      <c r="CY123" s="87"/>
      <c r="CZ123" s="88"/>
      <c r="DA123" s="85"/>
      <c r="DB123" s="86"/>
      <c r="DC123" s="86"/>
      <c r="DD123" s="86"/>
      <c r="DE123" s="87"/>
      <c r="DF123" s="87"/>
      <c r="DG123" s="87"/>
      <c r="DH123" s="87"/>
      <c r="DI123" s="87"/>
      <c r="DJ123" s="87"/>
      <c r="DK123" s="87"/>
      <c r="DL123" s="87"/>
      <c r="DM123" s="87"/>
      <c r="DN123" s="87"/>
      <c r="DO123" s="87"/>
      <c r="DP123" s="87"/>
      <c r="DQ123" s="87"/>
      <c r="DR123" s="87"/>
      <c r="DS123" s="88"/>
      <c r="DT123" s="85"/>
      <c r="DU123" s="86"/>
      <c r="DV123" s="86"/>
      <c r="DW123" s="86"/>
      <c r="DX123" s="87"/>
      <c r="DY123" s="87"/>
      <c r="DZ123" s="87"/>
      <c r="EA123" s="87"/>
      <c r="EB123" s="87"/>
      <c r="EC123" s="87"/>
      <c r="ED123" s="87"/>
      <c r="EE123" s="87"/>
      <c r="EF123" s="87"/>
      <c r="EG123" s="87"/>
      <c r="EH123" s="87"/>
      <c r="EI123" s="87"/>
      <c r="EJ123" s="87"/>
      <c r="EK123" s="87"/>
      <c r="EL123" s="88"/>
      <c r="EM123" s="85"/>
      <c r="EN123" s="86"/>
      <c r="EO123" s="86"/>
      <c r="EP123" s="86"/>
      <c r="EQ123" s="87"/>
      <c r="ER123" s="87"/>
      <c r="ES123" s="87"/>
      <c r="ET123" s="87"/>
      <c r="EU123" s="87"/>
      <c r="EV123" s="87"/>
      <c r="EW123" s="87"/>
      <c r="EX123" s="87"/>
      <c r="EY123" s="87"/>
      <c r="EZ123" s="87"/>
      <c r="FA123" s="87"/>
      <c r="FB123" s="87"/>
      <c r="FC123" s="87"/>
      <c r="FD123" s="87"/>
      <c r="FE123" s="89"/>
    </row>
    <row r="124" spans="2:161" s="6" customFormat="1" ht="13.2">
      <c r="B124" s="108" t="s">
        <v>226</v>
      </c>
      <c r="C124" s="110" t="s">
        <v>227</v>
      </c>
      <c r="D124" s="81">
        <f t="shared" si="54"/>
        <v>4848.4999999999991</v>
      </c>
      <c r="E124" s="82">
        <f t="shared" si="55"/>
        <v>3804.6631687181552</v>
      </c>
      <c r="F124" s="83">
        <f t="shared" si="55"/>
        <v>0</v>
      </c>
      <c r="G124" s="83">
        <f t="shared" si="55"/>
        <v>0</v>
      </c>
      <c r="H124" s="83">
        <f t="shared" si="55"/>
        <v>0</v>
      </c>
      <c r="I124" s="84">
        <f t="shared" si="55"/>
        <v>0</v>
      </c>
      <c r="J124" s="84">
        <f t="shared" si="55"/>
        <v>552.57295665527033</v>
      </c>
      <c r="K124" s="84">
        <f t="shared" si="55"/>
        <v>0</v>
      </c>
      <c r="L124" s="84">
        <f t="shared" si="55"/>
        <v>0</v>
      </c>
      <c r="M124" s="84">
        <f t="shared" si="55"/>
        <v>48.197642693436407</v>
      </c>
      <c r="N124" s="84">
        <f t="shared" si="55"/>
        <v>40.055920883737286</v>
      </c>
      <c r="O124" s="84">
        <f t="shared" si="55"/>
        <v>0</v>
      </c>
      <c r="P124" s="84">
        <f t="shared" si="55"/>
        <v>32.869130446324711</v>
      </c>
      <c r="Q124" s="84">
        <f t="shared" si="55"/>
        <v>0</v>
      </c>
      <c r="R124" s="84">
        <f t="shared" si="55"/>
        <v>0</v>
      </c>
      <c r="S124" s="84">
        <f t="shared" si="55"/>
        <v>358.98313533725121</v>
      </c>
      <c r="T124" s="84">
        <f t="shared" si="55"/>
        <v>0</v>
      </c>
      <c r="U124" s="84">
        <f t="shared" si="56"/>
        <v>0</v>
      </c>
      <c r="V124" s="84">
        <f t="shared" si="56"/>
        <v>0</v>
      </c>
      <c r="W124" s="84">
        <f>SIS064_F_Mokymukvalifik1Elektrosenergi5</f>
        <v>0</v>
      </c>
      <c r="X124" s="84">
        <f>SUM(SIS062_F_Mokymukvalifik1Geriamojovande1,SIS063_F_Mokymukvalifik1Geriamojovande1,SIS065_F_Mokymukvalifik1Geriamojovande1)</f>
        <v>0</v>
      </c>
      <c r="Y124" s="84">
        <f>SUM(SIS062_F_Mokymukvalifik1Paslaugaproduk8,SIS063_F_Mokymukvalifik1Paslaugaproduk8,SIS065_F_Mokymukvalifik1Paslaugaproduk8)</f>
        <v>0</v>
      </c>
      <c r="Z124" s="84">
        <f>SIS064_F_Mokymukvalifik1Elektrosenergi6</f>
        <v>0</v>
      </c>
      <c r="AA124" s="84">
        <f>SUM(SIS062_F_Mokymukvalifik1Konkurencinesi1,SIS063_F_Mokymukvalifik1Konkurencinesi1,SIS065_F_Mokymukvalifik1Konkurencinesi1,)</f>
        <v>0</v>
      </c>
      <c r="AB124" s="84">
        <f>SUM(SIS062_F_Mokymukvalifik1Paslaugaproduk9,SIS063_F_Mokymukvalifik1Paslaugaproduk9,SIS065_F_Mokymukvalifik1Paslaugaproduk9)</f>
        <v>11.158045265824832</v>
      </c>
      <c r="AC124" s="85">
        <v>3804.6631687181552</v>
      </c>
      <c r="AD124" s="86">
        <v>0</v>
      </c>
      <c r="AE124" s="86">
        <v>0</v>
      </c>
      <c r="AF124" s="86">
        <v>0</v>
      </c>
      <c r="AG124" s="87">
        <v>0</v>
      </c>
      <c r="AH124" s="87">
        <v>552.57295665527033</v>
      </c>
      <c r="AI124" s="87">
        <v>0</v>
      </c>
      <c r="AJ124" s="87">
        <v>0</v>
      </c>
      <c r="AK124" s="87">
        <v>48.197642693436407</v>
      </c>
      <c r="AL124" s="87">
        <v>40.055920883737286</v>
      </c>
      <c r="AM124" s="87">
        <v>0</v>
      </c>
      <c r="AN124" s="87">
        <v>32.869130446324711</v>
      </c>
      <c r="AO124" s="87">
        <v>0</v>
      </c>
      <c r="AP124" s="87">
        <v>0</v>
      </c>
      <c r="AQ124" s="87">
        <v>358.98313533725121</v>
      </c>
      <c r="AR124" s="87">
        <v>0</v>
      </c>
      <c r="AS124" s="87">
        <v>0</v>
      </c>
      <c r="AT124" s="87">
        <v>0</v>
      </c>
      <c r="AU124" s="88">
        <v>0</v>
      </c>
      <c r="AV124" s="85">
        <v>0</v>
      </c>
      <c r="AW124" s="86">
        <v>0</v>
      </c>
      <c r="AX124" s="86">
        <v>0</v>
      </c>
      <c r="AY124" s="86">
        <v>0</v>
      </c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8"/>
      <c r="BO124" s="85"/>
      <c r="BP124" s="86"/>
      <c r="BQ124" s="86"/>
      <c r="BR124" s="86"/>
      <c r="BS124" s="87"/>
      <c r="BT124" s="87"/>
      <c r="BU124" s="87"/>
      <c r="BV124" s="87"/>
      <c r="BW124" s="87"/>
      <c r="BX124" s="87"/>
      <c r="BY124" s="87"/>
      <c r="BZ124" s="87"/>
      <c r="CA124" s="87"/>
      <c r="CB124" s="87"/>
      <c r="CC124" s="87"/>
      <c r="CD124" s="87"/>
      <c r="CE124" s="87"/>
      <c r="CF124" s="87"/>
      <c r="CG124" s="88"/>
      <c r="CH124" s="85"/>
      <c r="CI124" s="86"/>
      <c r="CJ124" s="86"/>
      <c r="CK124" s="86"/>
      <c r="CL124" s="87"/>
      <c r="CM124" s="87"/>
      <c r="CN124" s="87"/>
      <c r="CO124" s="87"/>
      <c r="CP124" s="87"/>
      <c r="CQ124" s="87"/>
      <c r="CR124" s="87"/>
      <c r="CS124" s="87"/>
      <c r="CT124" s="87"/>
      <c r="CU124" s="87"/>
      <c r="CV124" s="87"/>
      <c r="CW124" s="87"/>
      <c r="CX124" s="87"/>
      <c r="CY124" s="87"/>
      <c r="CZ124" s="88"/>
      <c r="DA124" s="85"/>
      <c r="DB124" s="86"/>
      <c r="DC124" s="86"/>
      <c r="DD124" s="86"/>
      <c r="DE124" s="87"/>
      <c r="DF124" s="87"/>
      <c r="DG124" s="87"/>
      <c r="DH124" s="87"/>
      <c r="DI124" s="87"/>
      <c r="DJ124" s="87"/>
      <c r="DK124" s="87"/>
      <c r="DL124" s="87"/>
      <c r="DM124" s="87"/>
      <c r="DN124" s="87"/>
      <c r="DO124" s="87"/>
      <c r="DP124" s="87"/>
      <c r="DQ124" s="87"/>
      <c r="DR124" s="87"/>
      <c r="DS124" s="88"/>
      <c r="DT124" s="85"/>
      <c r="DU124" s="86"/>
      <c r="DV124" s="86"/>
      <c r="DW124" s="86"/>
      <c r="DX124" s="87"/>
      <c r="DY124" s="87"/>
      <c r="DZ124" s="87"/>
      <c r="EA124" s="87"/>
      <c r="EB124" s="87"/>
      <c r="EC124" s="87"/>
      <c r="ED124" s="87"/>
      <c r="EE124" s="87"/>
      <c r="EF124" s="87"/>
      <c r="EG124" s="87"/>
      <c r="EH124" s="87"/>
      <c r="EI124" s="87"/>
      <c r="EJ124" s="87"/>
      <c r="EK124" s="87"/>
      <c r="EL124" s="88"/>
      <c r="EM124" s="85"/>
      <c r="EN124" s="86"/>
      <c r="EO124" s="86"/>
      <c r="EP124" s="86"/>
      <c r="EQ124" s="87"/>
      <c r="ER124" s="87"/>
      <c r="ES124" s="87"/>
      <c r="ET124" s="87"/>
      <c r="EU124" s="87"/>
      <c r="EV124" s="87"/>
      <c r="EW124" s="87"/>
      <c r="EX124" s="87"/>
      <c r="EY124" s="87"/>
      <c r="EZ124" s="87"/>
      <c r="FA124" s="87"/>
      <c r="FB124" s="87"/>
      <c r="FC124" s="87"/>
      <c r="FD124" s="87"/>
      <c r="FE124" s="89"/>
    </row>
    <row r="125" spans="2:161" s="6" customFormat="1" ht="13.2">
      <c r="B125" s="108" t="s">
        <v>228</v>
      </c>
      <c r="C125" s="110" t="s">
        <v>229</v>
      </c>
      <c r="D125" s="81">
        <f t="shared" si="54"/>
        <v>0</v>
      </c>
      <c r="E125" s="82">
        <f t="shared" si="55"/>
        <v>0</v>
      </c>
      <c r="F125" s="83">
        <f t="shared" si="55"/>
        <v>0</v>
      </c>
      <c r="G125" s="83">
        <f t="shared" si="55"/>
        <v>0</v>
      </c>
      <c r="H125" s="83">
        <f t="shared" si="55"/>
        <v>0</v>
      </c>
      <c r="I125" s="84">
        <f t="shared" si="55"/>
        <v>0</v>
      </c>
      <c r="J125" s="84">
        <f t="shared" si="55"/>
        <v>0</v>
      </c>
      <c r="K125" s="84">
        <f t="shared" si="55"/>
        <v>0</v>
      </c>
      <c r="L125" s="84">
        <f t="shared" si="55"/>
        <v>0</v>
      </c>
      <c r="M125" s="84">
        <f t="shared" si="55"/>
        <v>0</v>
      </c>
      <c r="N125" s="84">
        <f t="shared" si="55"/>
        <v>0</v>
      </c>
      <c r="O125" s="84">
        <f t="shared" si="55"/>
        <v>0</v>
      </c>
      <c r="P125" s="84">
        <f t="shared" si="55"/>
        <v>0</v>
      </c>
      <c r="Q125" s="84">
        <f t="shared" si="55"/>
        <v>0</v>
      </c>
      <c r="R125" s="84">
        <f t="shared" si="55"/>
        <v>0</v>
      </c>
      <c r="S125" s="84">
        <f t="shared" si="55"/>
        <v>0</v>
      </c>
      <c r="T125" s="84">
        <f t="shared" si="55"/>
        <v>0</v>
      </c>
      <c r="U125" s="84">
        <f t="shared" si="56"/>
        <v>0</v>
      </c>
      <c r="V125" s="84">
        <f t="shared" si="56"/>
        <v>0</v>
      </c>
      <c r="W125" s="84">
        <f>SIS064_F_Iseitinespasal1Elektrosenergi5</f>
        <v>0</v>
      </c>
      <c r="X125" s="84">
        <f>SUM(SIS062_F_Iseitinespasal1Geriamojovande1,SIS063_F_Iseitinespasal1Geriamojovande1,SIS065_F_Iseitinespasal1Geriamojovande1)</f>
        <v>0</v>
      </c>
      <c r="Y125" s="84">
        <f>SUM(SIS062_F_Iseitinespasal1Paslaugaproduk8,SIS063_F_Iseitinespasal1Paslaugaproduk8,SIS065_F_Iseitinespasal1Paslaugaproduk8)</f>
        <v>0</v>
      </c>
      <c r="Z125" s="84">
        <f>SIS064_F_Iseitinespasal1Elektrosenergi6</f>
        <v>0</v>
      </c>
      <c r="AA125" s="84">
        <f>SUM(SIS062_F_Iseitinespasal1Konkurencinesi1,SIS063_F_Iseitinespasal1Konkurencinesi1,SIS065_F_Iseitinespasal1Konkurencinesi1,)</f>
        <v>0</v>
      </c>
      <c r="AB125" s="84">
        <f>SUM(SIS062_F_Iseitinespasal1Paslaugaproduk9,SIS063_F_Iseitinespasal1Paslaugaproduk9,SIS065_F_Iseitinespasal1Paslaugaproduk9)</f>
        <v>0</v>
      </c>
      <c r="AC125" s="85">
        <v>0</v>
      </c>
      <c r="AD125" s="86">
        <v>0</v>
      </c>
      <c r="AE125" s="86">
        <v>0</v>
      </c>
      <c r="AF125" s="86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8">
        <v>0</v>
      </c>
      <c r="AV125" s="85">
        <v>0</v>
      </c>
      <c r="AW125" s="86">
        <v>0</v>
      </c>
      <c r="AX125" s="86">
        <v>0</v>
      </c>
      <c r="AY125" s="86">
        <v>0</v>
      </c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8"/>
      <c r="BO125" s="85"/>
      <c r="BP125" s="86"/>
      <c r="BQ125" s="86"/>
      <c r="BR125" s="86"/>
      <c r="BS125" s="87"/>
      <c r="BT125" s="87"/>
      <c r="BU125" s="87"/>
      <c r="BV125" s="87"/>
      <c r="BW125" s="87"/>
      <c r="BX125" s="87"/>
      <c r="BY125" s="87"/>
      <c r="BZ125" s="87"/>
      <c r="CA125" s="87"/>
      <c r="CB125" s="87"/>
      <c r="CC125" s="87"/>
      <c r="CD125" s="87"/>
      <c r="CE125" s="87"/>
      <c r="CF125" s="87"/>
      <c r="CG125" s="88"/>
      <c r="CH125" s="85"/>
      <c r="CI125" s="86"/>
      <c r="CJ125" s="86"/>
      <c r="CK125" s="86"/>
      <c r="CL125" s="87"/>
      <c r="CM125" s="87"/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8"/>
      <c r="DA125" s="85"/>
      <c r="DB125" s="86"/>
      <c r="DC125" s="86"/>
      <c r="DD125" s="86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8"/>
      <c r="DT125" s="85"/>
      <c r="DU125" s="86"/>
      <c r="DV125" s="86"/>
      <c r="DW125" s="86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8"/>
      <c r="EM125" s="85"/>
      <c r="EN125" s="86"/>
      <c r="EO125" s="86"/>
      <c r="EP125" s="86"/>
      <c r="EQ125" s="87"/>
      <c r="ER125" s="87"/>
      <c r="ES125" s="87"/>
      <c r="ET125" s="87"/>
      <c r="EU125" s="87"/>
      <c r="EV125" s="87"/>
      <c r="EW125" s="87"/>
      <c r="EX125" s="87"/>
      <c r="EY125" s="87"/>
      <c r="EZ125" s="87"/>
      <c r="FA125" s="87"/>
      <c r="FB125" s="87"/>
      <c r="FC125" s="87"/>
      <c r="FD125" s="87"/>
      <c r="FE125" s="89"/>
    </row>
    <row r="126" spans="2:161" s="6" customFormat="1" ht="13.2">
      <c r="B126" s="108" t="s">
        <v>230</v>
      </c>
      <c r="C126" s="110" t="s">
        <v>231</v>
      </c>
      <c r="D126" s="81">
        <f t="shared" si="54"/>
        <v>1602.4099999999999</v>
      </c>
      <c r="E126" s="82">
        <f t="shared" si="55"/>
        <v>1151.81</v>
      </c>
      <c r="F126" s="83">
        <f t="shared" si="55"/>
        <v>0</v>
      </c>
      <c r="G126" s="83">
        <f t="shared" si="55"/>
        <v>0</v>
      </c>
      <c r="H126" s="83">
        <f t="shared" si="55"/>
        <v>0</v>
      </c>
      <c r="I126" s="84">
        <f t="shared" si="55"/>
        <v>0</v>
      </c>
      <c r="J126" s="84">
        <f t="shared" si="55"/>
        <v>18</v>
      </c>
      <c r="K126" s="84">
        <f t="shared" si="55"/>
        <v>0</v>
      </c>
      <c r="L126" s="84">
        <f t="shared" si="55"/>
        <v>0</v>
      </c>
      <c r="M126" s="84">
        <f t="shared" si="55"/>
        <v>0</v>
      </c>
      <c r="N126" s="84">
        <f t="shared" si="55"/>
        <v>0</v>
      </c>
      <c r="O126" s="84">
        <f t="shared" si="55"/>
        <v>0</v>
      </c>
      <c r="P126" s="84">
        <f t="shared" si="55"/>
        <v>0</v>
      </c>
      <c r="Q126" s="84">
        <f t="shared" si="55"/>
        <v>0</v>
      </c>
      <c r="R126" s="84">
        <f t="shared" si="55"/>
        <v>0</v>
      </c>
      <c r="S126" s="84">
        <f t="shared" si="55"/>
        <v>432.6</v>
      </c>
      <c r="T126" s="84">
        <f t="shared" si="55"/>
        <v>0</v>
      </c>
      <c r="U126" s="84">
        <f t="shared" si="56"/>
        <v>0</v>
      </c>
      <c r="V126" s="84">
        <f t="shared" si="56"/>
        <v>0</v>
      </c>
      <c r="W126" s="84">
        <f>SIS064_F_Apsauginiaiird1Elektrosenergi5</f>
        <v>0</v>
      </c>
      <c r="X126" s="84">
        <f>SUM(SIS062_F_Apsauginiaiird1Geriamojovande1,SIS063_F_Apsauginiaiird1Geriamojovande1,SIS065_F_Apsauginiaiird1Geriamojovande1)</f>
        <v>0</v>
      </c>
      <c r="Y126" s="84">
        <f>SUM(SIS062_F_Apsauginiaiird1Paslaugaproduk8,SIS063_F_Apsauginiaiird1Paslaugaproduk8,SIS065_F_Apsauginiaiird1Paslaugaproduk8)</f>
        <v>0</v>
      </c>
      <c r="Z126" s="84">
        <f>SIS064_F_Apsauginiaiird1Elektrosenergi6</f>
        <v>0</v>
      </c>
      <c r="AA126" s="84">
        <f>SUM(SIS062_F_Apsauginiaiird1Konkurencinesi1,SIS063_F_Apsauginiaiird1Konkurencinesi1,SIS065_F_Apsauginiaiird1Konkurencinesi1,)</f>
        <v>0</v>
      </c>
      <c r="AB126" s="84">
        <f>SUM(SIS062_F_Apsauginiaiird1Paslaugaproduk9,SIS063_F_Apsauginiaiird1Paslaugaproduk9,SIS065_F_Apsauginiaiird1Paslaugaproduk9)</f>
        <v>0</v>
      </c>
      <c r="AC126" s="85">
        <v>1151.81</v>
      </c>
      <c r="AD126" s="86">
        <v>0</v>
      </c>
      <c r="AE126" s="86">
        <v>0</v>
      </c>
      <c r="AF126" s="86">
        <v>0</v>
      </c>
      <c r="AG126" s="87">
        <v>0</v>
      </c>
      <c r="AH126" s="87">
        <v>18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0</v>
      </c>
      <c r="AQ126" s="87">
        <v>432.6</v>
      </c>
      <c r="AR126" s="87">
        <v>0</v>
      </c>
      <c r="AS126" s="87">
        <v>0</v>
      </c>
      <c r="AT126" s="87">
        <v>0</v>
      </c>
      <c r="AU126" s="88">
        <v>0</v>
      </c>
      <c r="AV126" s="85">
        <v>0</v>
      </c>
      <c r="AW126" s="86">
        <v>0</v>
      </c>
      <c r="AX126" s="86">
        <v>0</v>
      </c>
      <c r="AY126" s="86">
        <v>0</v>
      </c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8"/>
      <c r="BO126" s="85"/>
      <c r="BP126" s="86"/>
      <c r="BQ126" s="86"/>
      <c r="BR126" s="86"/>
      <c r="BS126" s="87"/>
      <c r="BT126" s="87"/>
      <c r="BU126" s="87"/>
      <c r="BV126" s="87"/>
      <c r="BW126" s="87"/>
      <c r="BX126" s="87"/>
      <c r="BY126" s="87"/>
      <c r="BZ126" s="87"/>
      <c r="CA126" s="87"/>
      <c r="CB126" s="87"/>
      <c r="CC126" s="87"/>
      <c r="CD126" s="87"/>
      <c r="CE126" s="87"/>
      <c r="CF126" s="87"/>
      <c r="CG126" s="88"/>
      <c r="CH126" s="85"/>
      <c r="CI126" s="86"/>
      <c r="CJ126" s="86"/>
      <c r="CK126" s="86"/>
      <c r="CL126" s="87"/>
      <c r="CM126" s="87"/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8"/>
      <c r="DA126" s="85"/>
      <c r="DB126" s="86"/>
      <c r="DC126" s="86"/>
      <c r="DD126" s="86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8"/>
      <c r="DT126" s="85"/>
      <c r="DU126" s="86"/>
      <c r="DV126" s="86"/>
      <c r="DW126" s="86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87"/>
      <c r="EJ126" s="87"/>
      <c r="EK126" s="87"/>
      <c r="EL126" s="88"/>
      <c r="EM126" s="85"/>
      <c r="EN126" s="86"/>
      <c r="EO126" s="86"/>
      <c r="EP126" s="86"/>
      <c r="EQ126" s="87"/>
      <c r="ER126" s="87"/>
      <c r="ES126" s="87"/>
      <c r="ET126" s="87"/>
      <c r="EU126" s="87"/>
      <c r="EV126" s="87"/>
      <c r="EW126" s="87"/>
      <c r="EX126" s="87"/>
      <c r="EY126" s="87"/>
      <c r="EZ126" s="87"/>
      <c r="FA126" s="87"/>
      <c r="FB126" s="87"/>
      <c r="FC126" s="87"/>
      <c r="FD126" s="87"/>
      <c r="FE126" s="89"/>
    </row>
    <row r="127" spans="2:161" s="6" customFormat="1" ht="13.2">
      <c r="B127" s="108" t="s">
        <v>232</v>
      </c>
      <c r="C127" s="110" t="s">
        <v>233</v>
      </c>
      <c r="D127" s="81">
        <f t="shared" si="54"/>
        <v>0</v>
      </c>
      <c r="E127" s="82">
        <f t="shared" si="55"/>
        <v>0</v>
      </c>
      <c r="F127" s="83">
        <f t="shared" si="55"/>
        <v>0</v>
      </c>
      <c r="G127" s="83">
        <f t="shared" si="55"/>
        <v>0</v>
      </c>
      <c r="H127" s="83">
        <f t="shared" si="55"/>
        <v>0</v>
      </c>
      <c r="I127" s="84">
        <f t="shared" si="55"/>
        <v>0</v>
      </c>
      <c r="J127" s="84">
        <f t="shared" si="55"/>
        <v>0</v>
      </c>
      <c r="K127" s="84">
        <f t="shared" si="55"/>
        <v>0</v>
      </c>
      <c r="L127" s="84">
        <f t="shared" si="55"/>
        <v>0</v>
      </c>
      <c r="M127" s="84">
        <f t="shared" si="55"/>
        <v>0</v>
      </c>
      <c r="N127" s="84">
        <f t="shared" si="55"/>
        <v>0</v>
      </c>
      <c r="O127" s="84">
        <f t="shared" si="55"/>
        <v>0</v>
      </c>
      <c r="P127" s="84">
        <f t="shared" si="55"/>
        <v>0</v>
      </c>
      <c r="Q127" s="84">
        <f t="shared" si="55"/>
        <v>0</v>
      </c>
      <c r="R127" s="84">
        <f t="shared" si="55"/>
        <v>0</v>
      </c>
      <c r="S127" s="84">
        <f t="shared" si="55"/>
        <v>0</v>
      </c>
      <c r="T127" s="84">
        <f t="shared" si="55"/>
        <v>0</v>
      </c>
      <c r="U127" s="84">
        <f t="shared" si="56"/>
        <v>0</v>
      </c>
      <c r="V127" s="84">
        <f t="shared" si="56"/>
        <v>0</v>
      </c>
      <c r="W127" s="84">
        <f>SIS064_F_Kelionessanaud1Elektrosenergi5</f>
        <v>0</v>
      </c>
      <c r="X127" s="84">
        <f>SUM(SIS062_F_Kelionessanaud1Geriamojovande1,SIS063_F_Kelionessanaud1Geriamojovande1,SIS065_F_Kelionessanaud1Geriamojovande1)</f>
        <v>0</v>
      </c>
      <c r="Y127" s="84">
        <f>SUM(SIS062_F_Kelionessanaud1Paslaugaproduk8,SIS063_F_Kelionessanaud1Paslaugaproduk8,SIS065_F_Kelionessanaud1Paslaugaproduk8)</f>
        <v>0</v>
      </c>
      <c r="Z127" s="84">
        <f>SIS064_F_Kelionessanaud1Elektrosenergi6</f>
        <v>0</v>
      </c>
      <c r="AA127" s="84">
        <f>SUM(SIS062_F_Kelionessanaud1Konkurencinesi1,SIS063_F_Kelionessanaud1Konkurencinesi1,SIS065_F_Kelionessanaud1Konkurencinesi1,)</f>
        <v>0</v>
      </c>
      <c r="AB127" s="84">
        <f>SUM(SIS062_F_Kelionessanaud1Paslaugaproduk9,SIS063_F_Kelionessanaud1Paslaugaproduk9,SIS065_F_Kelionessanaud1Paslaugaproduk9)</f>
        <v>0</v>
      </c>
      <c r="AC127" s="85">
        <v>0</v>
      </c>
      <c r="AD127" s="86">
        <v>0</v>
      </c>
      <c r="AE127" s="86">
        <v>0</v>
      </c>
      <c r="AF127" s="86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8">
        <v>0</v>
      </c>
      <c r="AV127" s="85">
        <v>0</v>
      </c>
      <c r="AW127" s="86">
        <v>0</v>
      </c>
      <c r="AX127" s="86">
        <v>0</v>
      </c>
      <c r="AY127" s="86">
        <v>0</v>
      </c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8"/>
      <c r="BO127" s="85"/>
      <c r="BP127" s="86"/>
      <c r="BQ127" s="86"/>
      <c r="BR127" s="86"/>
      <c r="BS127" s="87"/>
      <c r="BT127" s="87"/>
      <c r="BU127" s="87"/>
      <c r="BV127" s="87"/>
      <c r="BW127" s="87"/>
      <c r="BX127" s="87"/>
      <c r="BY127" s="87"/>
      <c r="BZ127" s="87"/>
      <c r="CA127" s="87"/>
      <c r="CB127" s="87"/>
      <c r="CC127" s="87"/>
      <c r="CD127" s="87"/>
      <c r="CE127" s="87"/>
      <c r="CF127" s="87"/>
      <c r="CG127" s="88"/>
      <c r="CH127" s="85"/>
      <c r="CI127" s="86"/>
      <c r="CJ127" s="86"/>
      <c r="CK127" s="86"/>
      <c r="CL127" s="87"/>
      <c r="CM127" s="87"/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8"/>
      <c r="DA127" s="85"/>
      <c r="DB127" s="86"/>
      <c r="DC127" s="86"/>
      <c r="DD127" s="86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8"/>
      <c r="DT127" s="85"/>
      <c r="DU127" s="86"/>
      <c r="DV127" s="86"/>
      <c r="DW127" s="86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8"/>
      <c r="EM127" s="85"/>
      <c r="EN127" s="86"/>
      <c r="EO127" s="86"/>
      <c r="EP127" s="86"/>
      <c r="EQ127" s="87"/>
      <c r="ER127" s="87"/>
      <c r="ES127" s="87"/>
      <c r="ET127" s="87"/>
      <c r="EU127" s="87"/>
      <c r="EV127" s="87"/>
      <c r="EW127" s="87"/>
      <c r="EX127" s="87"/>
      <c r="EY127" s="87"/>
      <c r="EZ127" s="87"/>
      <c r="FA127" s="87"/>
      <c r="FB127" s="87"/>
      <c r="FC127" s="87"/>
      <c r="FD127" s="87"/>
      <c r="FE127" s="89"/>
    </row>
    <row r="128" spans="2:161" s="6" customFormat="1" ht="13.2">
      <c r="B128" s="108" t="s">
        <v>234</v>
      </c>
      <c r="C128" s="110" t="s">
        <v>235</v>
      </c>
      <c r="D128" s="81">
        <f t="shared" si="54"/>
        <v>198334.63999999998</v>
      </c>
      <c r="E128" s="82">
        <f t="shared" si="55"/>
        <v>127758.19635782555</v>
      </c>
      <c r="F128" s="83">
        <f t="shared" si="55"/>
        <v>0</v>
      </c>
      <c r="G128" s="83">
        <f t="shared" si="55"/>
        <v>0</v>
      </c>
      <c r="H128" s="83">
        <f t="shared" si="55"/>
        <v>0</v>
      </c>
      <c r="I128" s="84">
        <f t="shared" si="55"/>
        <v>0</v>
      </c>
      <c r="J128" s="84">
        <f t="shared" si="55"/>
        <v>39125.304406411269</v>
      </c>
      <c r="K128" s="84">
        <f t="shared" si="55"/>
        <v>0</v>
      </c>
      <c r="L128" s="84">
        <f t="shared" si="55"/>
        <v>0</v>
      </c>
      <c r="M128" s="84">
        <f t="shared" si="55"/>
        <v>6032.983346450831</v>
      </c>
      <c r="N128" s="84">
        <f t="shared" si="55"/>
        <v>5013.8697685986226</v>
      </c>
      <c r="O128" s="84">
        <f t="shared" si="55"/>
        <v>0</v>
      </c>
      <c r="P128" s="84">
        <f t="shared" si="55"/>
        <v>4114.286623026097</v>
      </c>
      <c r="Q128" s="84">
        <f t="shared" si="55"/>
        <v>0</v>
      </c>
      <c r="R128" s="84">
        <f t="shared" si="55"/>
        <v>0</v>
      </c>
      <c r="S128" s="84">
        <f t="shared" si="55"/>
        <v>14893.327430220887</v>
      </c>
      <c r="T128" s="84">
        <f t="shared" si="55"/>
        <v>0</v>
      </c>
      <c r="U128" s="84">
        <f t="shared" si="56"/>
        <v>0</v>
      </c>
      <c r="V128" s="84">
        <f t="shared" si="56"/>
        <v>0</v>
      </c>
      <c r="W128" s="84">
        <f>SIS064_F_Administracijo1Elektrosenergi5</f>
        <v>0</v>
      </c>
      <c r="X128" s="84">
        <f>SUM(SIS062_F_Administracijo1Geriamojovande1, SIS063_F_Administracijo1Geriamojovande1, SIS065_F_Administracijo1Geriamojovande1)</f>
        <v>0</v>
      </c>
      <c r="Y128" s="84">
        <f>SUM(SIS062_F_Administracijo1Paslaugaproduk8, SIS063_F_Administracijo1Paslaugaproduk8, SIS065_F_Administracijo1Paslaugaproduk8)</f>
        <v>0</v>
      </c>
      <c r="Z128" s="84">
        <f>SIS064_F_Administracijo1Elektrosenergi6</f>
        <v>0</v>
      </c>
      <c r="AA128" s="84">
        <f>SUM(SIS062_F_Administracijo1Konkurencinesi1,SIS063_F_Administracijo1Konkurencinesi1,SIS065_F_Administracijo1Konkurencinesi1,)</f>
        <v>0</v>
      </c>
      <c r="AB128" s="84">
        <f>SUM(SIS062_F_Administracijo1Paslaugaproduk9, SIS063_F_Administracijo1Paslaugaproduk9, SIS065_F_Administracijo1Paslaugaproduk9)</f>
        <v>1396.6720674667545</v>
      </c>
      <c r="AC128" s="85">
        <v>127758.19635782555</v>
      </c>
      <c r="AD128" s="86">
        <v>0</v>
      </c>
      <c r="AE128" s="86">
        <v>0</v>
      </c>
      <c r="AF128" s="86">
        <v>0</v>
      </c>
      <c r="AG128" s="87">
        <v>0</v>
      </c>
      <c r="AH128" s="87">
        <v>39125.304406411269</v>
      </c>
      <c r="AI128" s="87">
        <v>0</v>
      </c>
      <c r="AJ128" s="87">
        <v>0</v>
      </c>
      <c r="AK128" s="87">
        <v>6032.983346450831</v>
      </c>
      <c r="AL128" s="87">
        <v>5013.8697685986226</v>
      </c>
      <c r="AM128" s="87">
        <v>0</v>
      </c>
      <c r="AN128" s="87">
        <v>4114.286623026097</v>
      </c>
      <c r="AO128" s="87">
        <v>0</v>
      </c>
      <c r="AP128" s="87">
        <v>0</v>
      </c>
      <c r="AQ128" s="87">
        <v>14893.327430220887</v>
      </c>
      <c r="AR128" s="87">
        <v>0</v>
      </c>
      <c r="AS128" s="87">
        <v>0</v>
      </c>
      <c r="AT128" s="87">
        <v>0</v>
      </c>
      <c r="AU128" s="88">
        <v>0</v>
      </c>
      <c r="AV128" s="85">
        <v>0</v>
      </c>
      <c r="AW128" s="86">
        <v>0</v>
      </c>
      <c r="AX128" s="86">
        <v>0</v>
      </c>
      <c r="AY128" s="86">
        <v>0</v>
      </c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8"/>
      <c r="BO128" s="85"/>
      <c r="BP128" s="86"/>
      <c r="BQ128" s="86"/>
      <c r="BR128" s="86"/>
      <c r="BS128" s="87"/>
      <c r="BT128" s="87"/>
      <c r="BU128" s="87"/>
      <c r="BV128" s="87"/>
      <c r="BW128" s="87"/>
      <c r="BX128" s="87"/>
      <c r="BY128" s="87"/>
      <c r="BZ128" s="87"/>
      <c r="CA128" s="87"/>
      <c r="CB128" s="87"/>
      <c r="CC128" s="87"/>
      <c r="CD128" s="87"/>
      <c r="CE128" s="87"/>
      <c r="CF128" s="87"/>
      <c r="CG128" s="88"/>
      <c r="CH128" s="85"/>
      <c r="CI128" s="86"/>
      <c r="CJ128" s="86"/>
      <c r="CK128" s="86"/>
      <c r="CL128" s="87"/>
      <c r="CM128" s="87"/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8"/>
      <c r="DA128" s="85"/>
      <c r="DB128" s="86"/>
      <c r="DC128" s="86"/>
      <c r="DD128" s="86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8"/>
      <c r="DT128" s="85"/>
      <c r="DU128" s="86"/>
      <c r="DV128" s="86"/>
      <c r="DW128" s="86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7"/>
      <c r="EJ128" s="87"/>
      <c r="EK128" s="87"/>
      <c r="EL128" s="88"/>
      <c r="EM128" s="85"/>
      <c r="EN128" s="86"/>
      <c r="EO128" s="86"/>
      <c r="EP128" s="86"/>
      <c r="EQ128" s="87"/>
      <c r="ER128" s="87"/>
      <c r="ES128" s="87"/>
      <c r="ET128" s="87"/>
      <c r="EU128" s="87"/>
      <c r="EV128" s="87"/>
      <c r="EW128" s="87"/>
      <c r="EX128" s="87"/>
      <c r="EY128" s="87"/>
      <c r="EZ128" s="87"/>
      <c r="FA128" s="87"/>
      <c r="FB128" s="87"/>
      <c r="FC128" s="87"/>
      <c r="FD128" s="87"/>
      <c r="FE128" s="89"/>
    </row>
    <row r="129" spans="2:161" s="6" customFormat="1" ht="13.2">
      <c r="B129" s="108" t="s">
        <v>236</v>
      </c>
      <c r="C129" s="109" t="str">
        <f>SIS055_D_Kitossupersona1</f>
        <v>Kitos su personalu susijusios sąnaudos (med. apžiūros sąnaudos)</v>
      </c>
      <c r="D129" s="81">
        <f t="shared" si="54"/>
        <v>152.07000000000002</v>
      </c>
      <c r="E129" s="82">
        <f t="shared" si="55"/>
        <v>130.30000000000001</v>
      </c>
      <c r="F129" s="83">
        <f t="shared" si="55"/>
        <v>0</v>
      </c>
      <c r="G129" s="83">
        <f t="shared" si="55"/>
        <v>0</v>
      </c>
      <c r="H129" s="83">
        <f t="shared" si="55"/>
        <v>0</v>
      </c>
      <c r="I129" s="84">
        <f t="shared" si="55"/>
        <v>0</v>
      </c>
      <c r="J129" s="84">
        <f t="shared" si="55"/>
        <v>0</v>
      </c>
      <c r="K129" s="84">
        <f t="shared" si="55"/>
        <v>0</v>
      </c>
      <c r="L129" s="84">
        <f t="shared" si="55"/>
        <v>0</v>
      </c>
      <c r="M129" s="84">
        <f t="shared" si="55"/>
        <v>0</v>
      </c>
      <c r="N129" s="84">
        <f t="shared" si="55"/>
        <v>0</v>
      </c>
      <c r="O129" s="84">
        <f t="shared" si="55"/>
        <v>0</v>
      </c>
      <c r="P129" s="84">
        <f t="shared" si="55"/>
        <v>0</v>
      </c>
      <c r="Q129" s="84">
        <f t="shared" si="55"/>
        <v>0</v>
      </c>
      <c r="R129" s="84">
        <f t="shared" si="55"/>
        <v>0</v>
      </c>
      <c r="S129" s="84">
        <f t="shared" si="55"/>
        <v>21.77</v>
      </c>
      <c r="T129" s="84">
        <f t="shared" si="55"/>
        <v>0</v>
      </c>
      <c r="U129" s="84">
        <f t="shared" si="56"/>
        <v>0</v>
      </c>
      <c r="V129" s="84">
        <f t="shared" si="56"/>
        <v>0</v>
      </c>
      <c r="W129" s="84">
        <f>SIS064_F_Kitossupersona1Elektrosenergi5</f>
        <v>0</v>
      </c>
      <c r="X129" s="84">
        <f>SUM(SIS062_F_Kitossupersona1Geriamojovande1,SIS063_F_Kitossupersona1Geriamojovande1,SIS065_F_Kitossupersona1Geriamojovande1)</f>
        <v>0</v>
      </c>
      <c r="Y129" s="84">
        <f>SUM(SIS062_F_Kitossupersona1Paslaugaproduk8,SIS063_F_Kitossupersona1Paslaugaproduk8,SIS065_F_Kitossupersona1Paslaugaproduk8)</f>
        <v>0</v>
      </c>
      <c r="Z129" s="84">
        <f>SIS064_F_Kitossupersona1Elektrosenergi6</f>
        <v>0</v>
      </c>
      <c r="AA129" s="84">
        <f>SUM(SIS062_F_Kitossupersona1Konkurencinesi1,SIS063_F_Kitossupersona1Konkurencinesi1,SIS065_F_Kitossupersona1Konkurencinesi1,)</f>
        <v>0</v>
      </c>
      <c r="AB129" s="84">
        <f>SUM(SIS062_F_Kitossupersona1Paslaugaproduk9,SIS063_F_Kitossupersona1Paslaugaproduk9,SIS065_F_Kitossupersona1Paslaugaproduk9)</f>
        <v>0</v>
      </c>
      <c r="AC129" s="85">
        <v>130.30000000000001</v>
      </c>
      <c r="AD129" s="86">
        <v>0</v>
      </c>
      <c r="AE129" s="86">
        <v>0</v>
      </c>
      <c r="AF129" s="86">
        <v>0</v>
      </c>
      <c r="AG129" s="87">
        <v>0</v>
      </c>
      <c r="AH129" s="87">
        <v>0</v>
      </c>
      <c r="AI129" s="87">
        <v>0</v>
      </c>
      <c r="AJ129" s="87">
        <v>0</v>
      </c>
      <c r="AK129" s="87">
        <v>0</v>
      </c>
      <c r="AL129" s="87">
        <v>0</v>
      </c>
      <c r="AM129" s="87">
        <v>0</v>
      </c>
      <c r="AN129" s="87">
        <v>0</v>
      </c>
      <c r="AO129" s="87">
        <v>0</v>
      </c>
      <c r="AP129" s="87">
        <v>0</v>
      </c>
      <c r="AQ129" s="87">
        <v>21.77</v>
      </c>
      <c r="AR129" s="87">
        <v>0</v>
      </c>
      <c r="AS129" s="87">
        <v>0</v>
      </c>
      <c r="AT129" s="87">
        <v>0</v>
      </c>
      <c r="AU129" s="88">
        <v>0</v>
      </c>
      <c r="AV129" s="85">
        <v>0</v>
      </c>
      <c r="AW129" s="86">
        <v>0</v>
      </c>
      <c r="AX129" s="86">
        <v>0</v>
      </c>
      <c r="AY129" s="86">
        <v>0</v>
      </c>
      <c r="AZ129" s="87"/>
      <c r="BA129" s="87"/>
      <c r="BB129" s="87"/>
      <c r="BC129" s="87"/>
      <c r="BD129" s="87"/>
      <c r="BE129" s="87"/>
      <c r="BF129" s="87"/>
      <c r="BG129" s="87"/>
      <c r="BH129" s="87"/>
      <c r="BI129" s="87"/>
      <c r="BJ129" s="87"/>
      <c r="BK129" s="87"/>
      <c r="BL129" s="87"/>
      <c r="BM129" s="87"/>
      <c r="BN129" s="88"/>
      <c r="BO129" s="85"/>
      <c r="BP129" s="86"/>
      <c r="BQ129" s="86"/>
      <c r="BR129" s="86"/>
      <c r="BS129" s="87"/>
      <c r="BT129" s="87"/>
      <c r="BU129" s="87"/>
      <c r="BV129" s="87"/>
      <c r="BW129" s="87"/>
      <c r="BX129" s="87"/>
      <c r="BY129" s="87"/>
      <c r="BZ129" s="87"/>
      <c r="CA129" s="87"/>
      <c r="CB129" s="87"/>
      <c r="CC129" s="87"/>
      <c r="CD129" s="87"/>
      <c r="CE129" s="87"/>
      <c r="CF129" s="87"/>
      <c r="CG129" s="88"/>
      <c r="CH129" s="85"/>
      <c r="CI129" s="86"/>
      <c r="CJ129" s="86"/>
      <c r="CK129" s="86"/>
      <c r="CL129" s="87"/>
      <c r="CM129" s="87"/>
      <c r="CN129" s="87"/>
      <c r="CO129" s="87"/>
      <c r="CP129" s="87"/>
      <c r="CQ129" s="87"/>
      <c r="CR129" s="87"/>
      <c r="CS129" s="87"/>
      <c r="CT129" s="87"/>
      <c r="CU129" s="87"/>
      <c r="CV129" s="87"/>
      <c r="CW129" s="87"/>
      <c r="CX129" s="87"/>
      <c r="CY129" s="87"/>
      <c r="CZ129" s="88"/>
      <c r="DA129" s="85"/>
      <c r="DB129" s="86"/>
      <c r="DC129" s="86"/>
      <c r="DD129" s="86"/>
      <c r="DE129" s="87"/>
      <c r="DF129" s="87"/>
      <c r="DG129" s="87"/>
      <c r="DH129" s="87"/>
      <c r="DI129" s="87"/>
      <c r="DJ129" s="87"/>
      <c r="DK129" s="87"/>
      <c r="DL129" s="87"/>
      <c r="DM129" s="87"/>
      <c r="DN129" s="87"/>
      <c r="DO129" s="87"/>
      <c r="DP129" s="87"/>
      <c r="DQ129" s="87"/>
      <c r="DR129" s="87"/>
      <c r="DS129" s="88"/>
      <c r="DT129" s="85"/>
      <c r="DU129" s="86"/>
      <c r="DV129" s="86"/>
      <c r="DW129" s="86"/>
      <c r="DX129" s="87"/>
      <c r="DY129" s="87"/>
      <c r="DZ129" s="87"/>
      <c r="EA129" s="87"/>
      <c r="EB129" s="87"/>
      <c r="EC129" s="87"/>
      <c r="ED129" s="87"/>
      <c r="EE129" s="87"/>
      <c r="EF129" s="87"/>
      <c r="EG129" s="87"/>
      <c r="EH129" s="87"/>
      <c r="EI129" s="87"/>
      <c r="EJ129" s="87"/>
      <c r="EK129" s="87"/>
      <c r="EL129" s="88"/>
      <c r="EM129" s="85"/>
      <c r="EN129" s="86"/>
      <c r="EO129" s="86"/>
      <c r="EP129" s="86"/>
      <c r="EQ129" s="87"/>
      <c r="ER129" s="87"/>
      <c r="ES129" s="87"/>
      <c r="ET129" s="87"/>
      <c r="EU129" s="87"/>
      <c r="EV129" s="87"/>
      <c r="EW129" s="87"/>
      <c r="EX129" s="87"/>
      <c r="EY129" s="87"/>
      <c r="EZ129" s="87"/>
      <c r="FA129" s="87"/>
      <c r="FB129" s="87"/>
      <c r="FC129" s="87"/>
      <c r="FD129" s="87"/>
      <c r="FE129" s="89"/>
    </row>
    <row r="130" spans="2:161" s="6" customFormat="1" ht="13.2" hidden="1">
      <c r="B130" s="108" t="s">
        <v>237</v>
      </c>
      <c r="C130" s="109" t="str">
        <f>SIS055_D_Kitossupersona2</f>
        <v>Kitos su personalu susijusios sąnaudos (nurodyti)</v>
      </c>
      <c r="D130" s="81">
        <f t="shared" si="54"/>
        <v>0</v>
      </c>
      <c r="E130" s="82">
        <f t="shared" si="55"/>
        <v>0</v>
      </c>
      <c r="F130" s="83">
        <f t="shared" si="55"/>
        <v>0</v>
      </c>
      <c r="G130" s="83">
        <f t="shared" si="55"/>
        <v>0</v>
      </c>
      <c r="H130" s="83">
        <f t="shared" si="55"/>
        <v>0</v>
      </c>
      <c r="I130" s="84">
        <f t="shared" si="55"/>
        <v>0</v>
      </c>
      <c r="J130" s="84">
        <f t="shared" si="55"/>
        <v>0</v>
      </c>
      <c r="K130" s="84">
        <f t="shared" si="55"/>
        <v>0</v>
      </c>
      <c r="L130" s="84">
        <f t="shared" si="55"/>
        <v>0</v>
      </c>
      <c r="M130" s="84">
        <f t="shared" si="55"/>
        <v>0</v>
      </c>
      <c r="N130" s="84">
        <f t="shared" si="55"/>
        <v>0</v>
      </c>
      <c r="O130" s="84">
        <f t="shared" si="55"/>
        <v>0</v>
      </c>
      <c r="P130" s="84">
        <f t="shared" si="55"/>
        <v>0</v>
      </c>
      <c r="Q130" s="84">
        <f t="shared" si="55"/>
        <v>0</v>
      </c>
      <c r="R130" s="84">
        <f t="shared" si="55"/>
        <v>0</v>
      </c>
      <c r="S130" s="84">
        <f t="shared" si="55"/>
        <v>0</v>
      </c>
      <c r="T130" s="84">
        <f t="shared" si="55"/>
        <v>0</v>
      </c>
      <c r="U130" s="84">
        <f t="shared" si="56"/>
        <v>0</v>
      </c>
      <c r="V130" s="84">
        <f t="shared" si="56"/>
        <v>0</v>
      </c>
      <c r="W130" s="84">
        <f>SIS064_F_Kitossupersona2Elektrosenergi5</f>
        <v>0</v>
      </c>
      <c r="X130" s="84">
        <f>SUM(SIS062_F_Kitossupersona2Geriamojovande1,SIS063_F_Kitossupersona2Geriamojovande1,SIS065_F_Kitossupersona2Geriamojovande1)</f>
        <v>0</v>
      </c>
      <c r="Y130" s="84">
        <f>SUM(SIS062_F_Kitossupersona2Paslaugaproduk8,SIS063_F_Kitossupersona2Paslaugaproduk8,SIS065_F_Kitossupersona2Paslaugaproduk8)</f>
        <v>0</v>
      </c>
      <c r="Z130" s="84">
        <f>SIS064_F_Kitossupersona2Elektrosenergi6</f>
        <v>0</v>
      </c>
      <c r="AA130" s="84">
        <f>SUM(SIS062_F_Kitossupersona2Konkurencinesi1,SIS063_F_Kitossupersona2Konkurencinesi1,SIS065_F_Kitossupersona2Konkurencinesi1,)</f>
        <v>0</v>
      </c>
      <c r="AB130" s="84">
        <f>SUM(SIS062_F_Kitossupersona2Paslaugaproduk9,SIS063_F_Kitossupersona2Paslaugaproduk9,SIS065_F_Kitossupersona2Paslaugaproduk9)</f>
        <v>0</v>
      </c>
      <c r="AC130" s="85">
        <v>0</v>
      </c>
      <c r="AD130" s="86">
        <v>0</v>
      </c>
      <c r="AE130" s="86">
        <v>0</v>
      </c>
      <c r="AF130" s="86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8">
        <v>0</v>
      </c>
      <c r="AV130" s="85">
        <v>0</v>
      </c>
      <c r="AW130" s="86">
        <v>0</v>
      </c>
      <c r="AX130" s="86">
        <v>0</v>
      </c>
      <c r="AY130" s="86">
        <v>0</v>
      </c>
      <c r="AZ130" s="87"/>
      <c r="BA130" s="87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N130" s="88"/>
      <c r="BO130" s="85"/>
      <c r="BP130" s="86"/>
      <c r="BQ130" s="86"/>
      <c r="BR130" s="86"/>
      <c r="BS130" s="87"/>
      <c r="BT130" s="87"/>
      <c r="BU130" s="87"/>
      <c r="BV130" s="87"/>
      <c r="BW130" s="87"/>
      <c r="BX130" s="87"/>
      <c r="BY130" s="87"/>
      <c r="BZ130" s="87"/>
      <c r="CA130" s="87"/>
      <c r="CB130" s="87"/>
      <c r="CC130" s="87"/>
      <c r="CD130" s="87"/>
      <c r="CE130" s="87"/>
      <c r="CF130" s="87"/>
      <c r="CG130" s="88"/>
      <c r="CH130" s="85"/>
      <c r="CI130" s="86"/>
      <c r="CJ130" s="86"/>
      <c r="CK130" s="86"/>
      <c r="CL130" s="87"/>
      <c r="CM130" s="87"/>
      <c r="CN130" s="87"/>
      <c r="CO130" s="87"/>
      <c r="CP130" s="87"/>
      <c r="CQ130" s="87"/>
      <c r="CR130" s="87"/>
      <c r="CS130" s="87"/>
      <c r="CT130" s="87"/>
      <c r="CU130" s="87"/>
      <c r="CV130" s="87"/>
      <c r="CW130" s="87"/>
      <c r="CX130" s="87"/>
      <c r="CY130" s="87"/>
      <c r="CZ130" s="88"/>
      <c r="DA130" s="85"/>
      <c r="DB130" s="86"/>
      <c r="DC130" s="86"/>
      <c r="DD130" s="86"/>
      <c r="DE130" s="87"/>
      <c r="DF130" s="87"/>
      <c r="DG130" s="87"/>
      <c r="DH130" s="87"/>
      <c r="DI130" s="87"/>
      <c r="DJ130" s="87"/>
      <c r="DK130" s="87"/>
      <c r="DL130" s="87"/>
      <c r="DM130" s="87"/>
      <c r="DN130" s="87"/>
      <c r="DO130" s="87"/>
      <c r="DP130" s="87"/>
      <c r="DQ130" s="87"/>
      <c r="DR130" s="87"/>
      <c r="DS130" s="88"/>
      <c r="DT130" s="85"/>
      <c r="DU130" s="86"/>
      <c r="DV130" s="86"/>
      <c r="DW130" s="86"/>
      <c r="DX130" s="87"/>
      <c r="DY130" s="87"/>
      <c r="DZ130" s="87"/>
      <c r="EA130" s="87"/>
      <c r="EB130" s="87"/>
      <c r="EC130" s="87"/>
      <c r="ED130" s="87"/>
      <c r="EE130" s="87"/>
      <c r="EF130" s="87"/>
      <c r="EG130" s="87"/>
      <c r="EH130" s="87"/>
      <c r="EI130" s="87"/>
      <c r="EJ130" s="87"/>
      <c r="EK130" s="87"/>
      <c r="EL130" s="88"/>
      <c r="EM130" s="85"/>
      <c r="EN130" s="86"/>
      <c r="EO130" s="86"/>
      <c r="EP130" s="86"/>
      <c r="EQ130" s="87"/>
      <c r="ER130" s="87"/>
      <c r="ES130" s="87"/>
      <c r="ET130" s="87"/>
      <c r="EU130" s="87"/>
      <c r="EV130" s="87"/>
      <c r="EW130" s="87"/>
      <c r="EX130" s="87"/>
      <c r="EY130" s="87"/>
      <c r="EZ130" s="87"/>
      <c r="FA130" s="87"/>
      <c r="FB130" s="87"/>
      <c r="FC130" s="87"/>
      <c r="FD130" s="87"/>
      <c r="FE130" s="89"/>
    </row>
    <row r="131" spans="2:161" s="6" customFormat="1" ht="13.2" hidden="1">
      <c r="B131" s="108" t="s">
        <v>238</v>
      </c>
      <c r="C131" s="109" t="str">
        <f>SIS055_D_Kitossupersona3</f>
        <v>Kitos su personalu susijusios sąnaudos (nurodyti)</v>
      </c>
      <c r="D131" s="81">
        <f t="shared" si="54"/>
        <v>0</v>
      </c>
      <c r="E131" s="82">
        <f t="shared" si="55"/>
        <v>0</v>
      </c>
      <c r="F131" s="83">
        <f t="shared" si="55"/>
        <v>0</v>
      </c>
      <c r="G131" s="83">
        <f t="shared" si="55"/>
        <v>0</v>
      </c>
      <c r="H131" s="83">
        <f t="shared" si="55"/>
        <v>0</v>
      </c>
      <c r="I131" s="84">
        <f t="shared" si="55"/>
        <v>0</v>
      </c>
      <c r="J131" s="84">
        <f t="shared" si="55"/>
        <v>0</v>
      </c>
      <c r="K131" s="84">
        <f t="shared" si="55"/>
        <v>0</v>
      </c>
      <c r="L131" s="84">
        <f t="shared" si="55"/>
        <v>0</v>
      </c>
      <c r="M131" s="84">
        <f t="shared" si="55"/>
        <v>0</v>
      </c>
      <c r="N131" s="84">
        <f t="shared" si="55"/>
        <v>0</v>
      </c>
      <c r="O131" s="84">
        <f t="shared" si="55"/>
        <v>0</v>
      </c>
      <c r="P131" s="84">
        <f t="shared" si="55"/>
        <v>0</v>
      </c>
      <c r="Q131" s="84">
        <f t="shared" si="55"/>
        <v>0</v>
      </c>
      <c r="R131" s="84">
        <f t="shared" si="55"/>
        <v>0</v>
      </c>
      <c r="S131" s="84">
        <f t="shared" si="55"/>
        <v>0</v>
      </c>
      <c r="T131" s="84">
        <f t="shared" si="55"/>
        <v>0</v>
      </c>
      <c r="U131" s="84">
        <f t="shared" si="56"/>
        <v>0</v>
      </c>
      <c r="V131" s="84">
        <f t="shared" si="56"/>
        <v>0</v>
      </c>
      <c r="W131" s="84">
        <f>SIS064_F_Kitossupersona3Elektrosenergi5</f>
        <v>0</v>
      </c>
      <c r="X131" s="84">
        <f>SUM(SIS062_F_Kitossupersona3Geriamojovande1,SIS063_F_Kitossupersona3Geriamojovande1,SIS065_F_Kitossupersona3Geriamojovande1)</f>
        <v>0</v>
      </c>
      <c r="Y131" s="84">
        <f>SUM(SIS062_F_Kitossupersona3Paslaugaproduk8,SIS063_F_Kitossupersona3Paslaugaproduk8,SIS065_F_Kitossupersona3Paslaugaproduk8)</f>
        <v>0</v>
      </c>
      <c r="Z131" s="84">
        <f>SIS064_F_Kitossupersona3Elektrosenergi6</f>
        <v>0</v>
      </c>
      <c r="AA131" s="84">
        <f>SUM(SIS062_F_Kitossupersona3Konkurencinesi1,SIS063_F_Kitossupersona3Konkurencinesi1,SIS065_F_Kitossupersona3Konkurencinesi1,)</f>
        <v>0</v>
      </c>
      <c r="AB131" s="84">
        <f>SUM(SIS062_F_Kitossupersona3Paslaugaproduk9,SIS063_F_Kitossupersona3Paslaugaproduk9,SIS065_F_Kitossupersona3Paslaugaproduk9)</f>
        <v>0</v>
      </c>
      <c r="AC131" s="85">
        <v>0</v>
      </c>
      <c r="AD131" s="86">
        <v>0</v>
      </c>
      <c r="AE131" s="86">
        <v>0</v>
      </c>
      <c r="AF131" s="86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8">
        <v>0</v>
      </c>
      <c r="AV131" s="85">
        <v>0</v>
      </c>
      <c r="AW131" s="86">
        <v>0</v>
      </c>
      <c r="AX131" s="86">
        <v>0</v>
      </c>
      <c r="AY131" s="86">
        <v>0</v>
      </c>
      <c r="AZ131" s="87"/>
      <c r="BA131" s="87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8"/>
      <c r="BO131" s="85"/>
      <c r="BP131" s="86"/>
      <c r="BQ131" s="86"/>
      <c r="BR131" s="86"/>
      <c r="BS131" s="87"/>
      <c r="BT131" s="87"/>
      <c r="BU131" s="87"/>
      <c r="BV131" s="87"/>
      <c r="BW131" s="87"/>
      <c r="BX131" s="87"/>
      <c r="BY131" s="87"/>
      <c r="BZ131" s="87"/>
      <c r="CA131" s="87"/>
      <c r="CB131" s="87"/>
      <c r="CC131" s="87"/>
      <c r="CD131" s="87"/>
      <c r="CE131" s="87"/>
      <c r="CF131" s="87"/>
      <c r="CG131" s="88"/>
      <c r="CH131" s="85"/>
      <c r="CI131" s="86"/>
      <c r="CJ131" s="86"/>
      <c r="CK131" s="86"/>
      <c r="CL131" s="87"/>
      <c r="CM131" s="87"/>
      <c r="CN131" s="87"/>
      <c r="CO131" s="87"/>
      <c r="CP131" s="87"/>
      <c r="CQ131" s="87"/>
      <c r="CR131" s="87"/>
      <c r="CS131" s="87"/>
      <c r="CT131" s="87"/>
      <c r="CU131" s="87"/>
      <c r="CV131" s="87"/>
      <c r="CW131" s="87"/>
      <c r="CX131" s="87"/>
      <c r="CY131" s="87"/>
      <c r="CZ131" s="88"/>
      <c r="DA131" s="85"/>
      <c r="DB131" s="86"/>
      <c r="DC131" s="86"/>
      <c r="DD131" s="86"/>
      <c r="DE131" s="87"/>
      <c r="DF131" s="87"/>
      <c r="DG131" s="87"/>
      <c r="DH131" s="87"/>
      <c r="DI131" s="87"/>
      <c r="DJ131" s="87"/>
      <c r="DK131" s="87"/>
      <c r="DL131" s="87"/>
      <c r="DM131" s="87"/>
      <c r="DN131" s="87"/>
      <c r="DO131" s="87"/>
      <c r="DP131" s="87"/>
      <c r="DQ131" s="87"/>
      <c r="DR131" s="87"/>
      <c r="DS131" s="88"/>
      <c r="DT131" s="85"/>
      <c r="DU131" s="86"/>
      <c r="DV131" s="86"/>
      <c r="DW131" s="86"/>
      <c r="DX131" s="87"/>
      <c r="DY131" s="87"/>
      <c r="DZ131" s="87"/>
      <c r="EA131" s="87"/>
      <c r="EB131" s="87"/>
      <c r="EC131" s="87"/>
      <c r="ED131" s="87"/>
      <c r="EE131" s="87"/>
      <c r="EF131" s="87"/>
      <c r="EG131" s="87"/>
      <c r="EH131" s="87"/>
      <c r="EI131" s="87"/>
      <c r="EJ131" s="87"/>
      <c r="EK131" s="87"/>
      <c r="EL131" s="88"/>
      <c r="EM131" s="85"/>
      <c r="EN131" s="86"/>
      <c r="EO131" s="86"/>
      <c r="EP131" s="86"/>
      <c r="EQ131" s="87"/>
      <c r="ER131" s="87"/>
      <c r="ES131" s="87"/>
      <c r="ET131" s="87"/>
      <c r="EU131" s="87"/>
      <c r="EV131" s="87"/>
      <c r="EW131" s="87"/>
      <c r="EX131" s="87"/>
      <c r="EY131" s="87"/>
      <c r="EZ131" s="87"/>
      <c r="FA131" s="87"/>
      <c r="FB131" s="87"/>
      <c r="FC131" s="87"/>
      <c r="FD131" s="87"/>
      <c r="FE131" s="89"/>
    </row>
    <row r="132" spans="2:161" s="6" customFormat="1" ht="13.2" hidden="1">
      <c r="B132" s="108" t="s">
        <v>239</v>
      </c>
      <c r="C132" s="109" t="str">
        <f>SIS055_D_Kitossupersona4</f>
        <v>Kitos su personalu susijusios sąnaudos (nurodyti)</v>
      </c>
      <c r="D132" s="81">
        <f t="shared" si="54"/>
        <v>0</v>
      </c>
      <c r="E132" s="82">
        <f t="shared" si="55"/>
        <v>0</v>
      </c>
      <c r="F132" s="83">
        <f t="shared" si="55"/>
        <v>0</v>
      </c>
      <c r="G132" s="83">
        <f t="shared" si="55"/>
        <v>0</v>
      </c>
      <c r="H132" s="83">
        <f t="shared" si="55"/>
        <v>0</v>
      </c>
      <c r="I132" s="84">
        <f t="shared" si="55"/>
        <v>0</v>
      </c>
      <c r="J132" s="84">
        <f t="shared" si="55"/>
        <v>0</v>
      </c>
      <c r="K132" s="84">
        <f t="shared" si="55"/>
        <v>0</v>
      </c>
      <c r="L132" s="84">
        <f t="shared" si="55"/>
        <v>0</v>
      </c>
      <c r="M132" s="84">
        <f t="shared" si="55"/>
        <v>0</v>
      </c>
      <c r="N132" s="84">
        <f t="shared" si="55"/>
        <v>0</v>
      </c>
      <c r="O132" s="84">
        <f t="shared" si="55"/>
        <v>0</v>
      </c>
      <c r="P132" s="84">
        <f t="shared" si="55"/>
        <v>0</v>
      </c>
      <c r="Q132" s="84">
        <f t="shared" si="55"/>
        <v>0</v>
      </c>
      <c r="R132" s="84">
        <f t="shared" si="55"/>
        <v>0</v>
      </c>
      <c r="S132" s="84">
        <f t="shared" si="55"/>
        <v>0</v>
      </c>
      <c r="T132" s="84">
        <f t="shared" si="55"/>
        <v>0</v>
      </c>
      <c r="U132" s="84">
        <f t="shared" si="56"/>
        <v>0</v>
      </c>
      <c r="V132" s="84">
        <f t="shared" si="56"/>
        <v>0</v>
      </c>
      <c r="W132" s="84">
        <f>SIS064_F_Kitossupersona4Elektrosenergi5</f>
        <v>0</v>
      </c>
      <c r="X132" s="84">
        <f>SUM(SIS062_F_Kitossupersona4Geriamojovande1,SIS063_F_Kitossupersona4Geriamojovande1,SIS065_F_Kitossupersona4Geriamojovande1)</f>
        <v>0</v>
      </c>
      <c r="Y132" s="84">
        <f>SUM(SIS062_F_Kitossupersona4Paslaugaproduk8,SIS063_F_Kitossupersona4Paslaugaproduk8,SIS065_F_Kitossupersona4Paslaugaproduk8)</f>
        <v>0</v>
      </c>
      <c r="Z132" s="84">
        <f>SIS064_F_Kitossupersona4Elektrosenergi6</f>
        <v>0</v>
      </c>
      <c r="AA132" s="84">
        <f>SUM(SIS062_F_Kitossupersona4Konkurencinesi1,SIS063_F_Kitossupersona4Konkurencinesi1,SIS065_F_Kitossupersona4Konkurencinesi1,)</f>
        <v>0</v>
      </c>
      <c r="AB132" s="84">
        <f>SUM(SIS062_F_Kitossupersona4Paslaugaproduk9,SIS063_F_Kitossupersona4Paslaugaproduk9,SIS065_F_Kitossupersona4Paslaugaproduk9)</f>
        <v>0</v>
      </c>
      <c r="AC132" s="85">
        <v>0</v>
      </c>
      <c r="AD132" s="86">
        <v>0</v>
      </c>
      <c r="AE132" s="86">
        <v>0</v>
      </c>
      <c r="AF132" s="86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8">
        <v>0</v>
      </c>
      <c r="AV132" s="85">
        <v>0</v>
      </c>
      <c r="AW132" s="86">
        <v>0</v>
      </c>
      <c r="AX132" s="86">
        <v>0</v>
      </c>
      <c r="AY132" s="86">
        <v>0</v>
      </c>
      <c r="AZ132" s="87"/>
      <c r="BA132" s="87"/>
      <c r="BB132" s="87"/>
      <c r="BC132" s="87"/>
      <c r="BD132" s="87"/>
      <c r="BE132" s="87"/>
      <c r="BF132" s="87"/>
      <c r="BG132" s="87"/>
      <c r="BH132" s="87"/>
      <c r="BI132" s="87"/>
      <c r="BJ132" s="87"/>
      <c r="BK132" s="87"/>
      <c r="BL132" s="87"/>
      <c r="BM132" s="87"/>
      <c r="BN132" s="88"/>
      <c r="BO132" s="85"/>
      <c r="BP132" s="86"/>
      <c r="BQ132" s="86"/>
      <c r="BR132" s="86"/>
      <c r="BS132" s="87"/>
      <c r="BT132" s="87"/>
      <c r="BU132" s="87"/>
      <c r="BV132" s="87"/>
      <c r="BW132" s="87"/>
      <c r="BX132" s="87"/>
      <c r="BY132" s="87"/>
      <c r="BZ132" s="87"/>
      <c r="CA132" s="87"/>
      <c r="CB132" s="87"/>
      <c r="CC132" s="87"/>
      <c r="CD132" s="87"/>
      <c r="CE132" s="87"/>
      <c r="CF132" s="87"/>
      <c r="CG132" s="88"/>
      <c r="CH132" s="85"/>
      <c r="CI132" s="86"/>
      <c r="CJ132" s="86"/>
      <c r="CK132" s="86"/>
      <c r="CL132" s="87"/>
      <c r="CM132" s="87"/>
      <c r="CN132" s="87"/>
      <c r="CO132" s="87"/>
      <c r="CP132" s="87"/>
      <c r="CQ132" s="87"/>
      <c r="CR132" s="87"/>
      <c r="CS132" s="87"/>
      <c r="CT132" s="87"/>
      <c r="CU132" s="87"/>
      <c r="CV132" s="87"/>
      <c r="CW132" s="87"/>
      <c r="CX132" s="87"/>
      <c r="CY132" s="87"/>
      <c r="CZ132" s="88"/>
      <c r="DA132" s="85"/>
      <c r="DB132" s="86"/>
      <c r="DC132" s="86"/>
      <c r="DD132" s="86"/>
      <c r="DE132" s="87"/>
      <c r="DF132" s="87"/>
      <c r="DG132" s="87"/>
      <c r="DH132" s="87"/>
      <c r="DI132" s="87"/>
      <c r="DJ132" s="87"/>
      <c r="DK132" s="87"/>
      <c r="DL132" s="87"/>
      <c r="DM132" s="87"/>
      <c r="DN132" s="87"/>
      <c r="DO132" s="87"/>
      <c r="DP132" s="87"/>
      <c r="DQ132" s="87"/>
      <c r="DR132" s="87"/>
      <c r="DS132" s="88"/>
      <c r="DT132" s="85"/>
      <c r="DU132" s="86"/>
      <c r="DV132" s="86"/>
      <c r="DW132" s="86"/>
      <c r="DX132" s="87"/>
      <c r="DY132" s="87"/>
      <c r="DZ132" s="87"/>
      <c r="EA132" s="87"/>
      <c r="EB132" s="87"/>
      <c r="EC132" s="87"/>
      <c r="ED132" s="87"/>
      <c r="EE132" s="87"/>
      <c r="EF132" s="87"/>
      <c r="EG132" s="87"/>
      <c r="EH132" s="87"/>
      <c r="EI132" s="87"/>
      <c r="EJ132" s="87"/>
      <c r="EK132" s="87"/>
      <c r="EL132" s="88"/>
      <c r="EM132" s="85"/>
      <c r="EN132" s="86"/>
      <c r="EO132" s="86"/>
      <c r="EP132" s="86"/>
      <c r="EQ132" s="87"/>
      <c r="ER132" s="87"/>
      <c r="ES132" s="87"/>
      <c r="ET132" s="87"/>
      <c r="EU132" s="87"/>
      <c r="EV132" s="87"/>
      <c r="EW132" s="87"/>
      <c r="EX132" s="87"/>
      <c r="EY132" s="87"/>
      <c r="EZ132" s="87"/>
      <c r="FA132" s="87"/>
      <c r="FB132" s="87"/>
      <c r="FC132" s="87"/>
      <c r="FD132" s="87"/>
      <c r="FE132" s="89"/>
    </row>
    <row r="133" spans="2:161" s="6" customFormat="1" ht="13.2">
      <c r="B133" s="93" t="s">
        <v>240</v>
      </c>
      <c r="C133" s="111" t="s">
        <v>241</v>
      </c>
      <c r="D133" s="106">
        <f t="shared" ref="D133:BO133" si="57">SUM(D134:D140)</f>
        <v>60562.45</v>
      </c>
      <c r="E133" s="95">
        <f t="shared" si="57"/>
        <v>30250.952067294395</v>
      </c>
      <c r="F133" s="96">
        <f t="shared" si="57"/>
        <v>0</v>
      </c>
      <c r="G133" s="96">
        <f t="shared" si="57"/>
        <v>0</v>
      </c>
      <c r="H133" s="96">
        <f t="shared" si="57"/>
        <v>0</v>
      </c>
      <c r="I133" s="97">
        <f t="shared" si="57"/>
        <v>0</v>
      </c>
      <c r="J133" s="97">
        <f t="shared" si="57"/>
        <v>24195.058104228738</v>
      </c>
      <c r="K133" s="97">
        <f t="shared" si="57"/>
        <v>0</v>
      </c>
      <c r="L133" s="97">
        <f t="shared" si="57"/>
        <v>0</v>
      </c>
      <c r="M133" s="97">
        <f t="shared" si="57"/>
        <v>1173.2605088851599</v>
      </c>
      <c r="N133" s="97">
        <f t="shared" si="57"/>
        <v>975.06905926578168</v>
      </c>
      <c r="O133" s="97">
        <f t="shared" si="57"/>
        <v>0</v>
      </c>
      <c r="P133" s="97">
        <f t="shared" si="57"/>
        <v>800.12321265079856</v>
      </c>
      <c r="Q133" s="97">
        <f t="shared" si="57"/>
        <v>0</v>
      </c>
      <c r="R133" s="97">
        <f t="shared" si="57"/>
        <v>0</v>
      </c>
      <c r="S133" s="97">
        <f t="shared" si="57"/>
        <v>2896.3701565750175</v>
      </c>
      <c r="T133" s="97">
        <f t="shared" si="57"/>
        <v>0</v>
      </c>
      <c r="U133" s="97">
        <f t="shared" si="57"/>
        <v>0</v>
      </c>
      <c r="V133" s="97">
        <f t="shared" si="57"/>
        <v>0</v>
      </c>
      <c r="W133" s="97">
        <f t="shared" si="57"/>
        <v>0</v>
      </c>
      <c r="X133" s="97">
        <f t="shared" si="57"/>
        <v>0</v>
      </c>
      <c r="Y133" s="97">
        <f t="shared" si="57"/>
        <v>0</v>
      </c>
      <c r="Z133" s="97">
        <f t="shared" si="57"/>
        <v>0</v>
      </c>
      <c r="AA133" s="97">
        <f t="shared" si="57"/>
        <v>0</v>
      </c>
      <c r="AB133" s="97">
        <f t="shared" si="57"/>
        <v>271.61689110011332</v>
      </c>
      <c r="AC133" s="98">
        <f t="shared" si="57"/>
        <v>30250.952067294395</v>
      </c>
      <c r="AD133" s="99">
        <f t="shared" si="57"/>
        <v>0</v>
      </c>
      <c r="AE133" s="99">
        <f t="shared" si="57"/>
        <v>0</v>
      </c>
      <c r="AF133" s="99">
        <f t="shared" si="57"/>
        <v>0</v>
      </c>
      <c r="AG133" s="100">
        <f t="shared" si="57"/>
        <v>0</v>
      </c>
      <c r="AH133" s="100">
        <f t="shared" si="57"/>
        <v>24195.058104228738</v>
      </c>
      <c r="AI133" s="100">
        <f t="shared" si="57"/>
        <v>0</v>
      </c>
      <c r="AJ133" s="100">
        <f t="shared" si="57"/>
        <v>0</v>
      </c>
      <c r="AK133" s="100">
        <f t="shared" si="57"/>
        <v>1173.2605088851599</v>
      </c>
      <c r="AL133" s="100">
        <f t="shared" si="57"/>
        <v>975.06905926578168</v>
      </c>
      <c r="AM133" s="100">
        <f t="shared" si="57"/>
        <v>0</v>
      </c>
      <c r="AN133" s="100">
        <f t="shared" si="57"/>
        <v>800.12321265079856</v>
      </c>
      <c r="AO133" s="100">
        <f t="shared" si="57"/>
        <v>0</v>
      </c>
      <c r="AP133" s="100">
        <f t="shared" si="57"/>
        <v>0</v>
      </c>
      <c r="AQ133" s="100">
        <f t="shared" si="57"/>
        <v>2896.3701565750175</v>
      </c>
      <c r="AR133" s="100">
        <f t="shared" si="57"/>
        <v>0</v>
      </c>
      <c r="AS133" s="100">
        <f t="shared" si="57"/>
        <v>0</v>
      </c>
      <c r="AT133" s="100">
        <f t="shared" si="57"/>
        <v>0</v>
      </c>
      <c r="AU133" s="97">
        <f t="shared" si="57"/>
        <v>0</v>
      </c>
      <c r="AV133" s="98">
        <f t="shared" si="57"/>
        <v>0</v>
      </c>
      <c r="AW133" s="99">
        <f t="shared" si="57"/>
        <v>0</v>
      </c>
      <c r="AX133" s="99">
        <f t="shared" si="57"/>
        <v>0</v>
      </c>
      <c r="AY133" s="99">
        <f t="shared" si="57"/>
        <v>0</v>
      </c>
      <c r="AZ133" s="100">
        <f t="shared" si="57"/>
        <v>0</v>
      </c>
      <c r="BA133" s="100">
        <f t="shared" si="57"/>
        <v>0</v>
      </c>
      <c r="BB133" s="100">
        <f t="shared" si="57"/>
        <v>0</v>
      </c>
      <c r="BC133" s="100">
        <f t="shared" si="57"/>
        <v>0</v>
      </c>
      <c r="BD133" s="100">
        <f t="shared" si="57"/>
        <v>0</v>
      </c>
      <c r="BE133" s="100">
        <f t="shared" si="57"/>
        <v>0</v>
      </c>
      <c r="BF133" s="100">
        <f t="shared" si="57"/>
        <v>0</v>
      </c>
      <c r="BG133" s="100">
        <f t="shared" si="57"/>
        <v>0</v>
      </c>
      <c r="BH133" s="100">
        <f t="shared" si="57"/>
        <v>0</v>
      </c>
      <c r="BI133" s="100">
        <f t="shared" si="57"/>
        <v>0</v>
      </c>
      <c r="BJ133" s="100">
        <f t="shared" si="57"/>
        <v>0</v>
      </c>
      <c r="BK133" s="100">
        <f t="shared" si="57"/>
        <v>0</v>
      </c>
      <c r="BL133" s="100">
        <f t="shared" si="57"/>
        <v>0</v>
      </c>
      <c r="BM133" s="100">
        <f t="shared" si="57"/>
        <v>0</v>
      </c>
      <c r="BN133" s="97">
        <f t="shared" si="57"/>
        <v>0</v>
      </c>
      <c r="BO133" s="98">
        <f t="shared" si="57"/>
        <v>0</v>
      </c>
      <c r="BP133" s="99">
        <f t="shared" ref="BP133:EA133" si="58">SUM(BP134:BP140)</f>
        <v>0</v>
      </c>
      <c r="BQ133" s="99">
        <f t="shared" si="58"/>
        <v>0</v>
      </c>
      <c r="BR133" s="99">
        <f t="shared" si="58"/>
        <v>0</v>
      </c>
      <c r="BS133" s="100">
        <f t="shared" si="58"/>
        <v>0</v>
      </c>
      <c r="BT133" s="100">
        <f t="shared" si="58"/>
        <v>0</v>
      </c>
      <c r="BU133" s="100">
        <f t="shared" si="58"/>
        <v>0</v>
      </c>
      <c r="BV133" s="100">
        <f t="shared" si="58"/>
        <v>0</v>
      </c>
      <c r="BW133" s="100">
        <f t="shared" si="58"/>
        <v>0</v>
      </c>
      <c r="BX133" s="100">
        <f t="shared" si="58"/>
        <v>0</v>
      </c>
      <c r="BY133" s="100">
        <f t="shared" si="58"/>
        <v>0</v>
      </c>
      <c r="BZ133" s="100">
        <f t="shared" si="58"/>
        <v>0</v>
      </c>
      <c r="CA133" s="100">
        <f t="shared" si="58"/>
        <v>0</v>
      </c>
      <c r="CB133" s="100">
        <f t="shared" si="58"/>
        <v>0</v>
      </c>
      <c r="CC133" s="100">
        <f t="shared" si="58"/>
        <v>0</v>
      </c>
      <c r="CD133" s="100">
        <f t="shared" si="58"/>
        <v>0</v>
      </c>
      <c r="CE133" s="100">
        <f t="shared" si="58"/>
        <v>0</v>
      </c>
      <c r="CF133" s="100">
        <f t="shared" si="58"/>
        <v>0</v>
      </c>
      <c r="CG133" s="97">
        <f t="shared" si="58"/>
        <v>0</v>
      </c>
      <c r="CH133" s="98">
        <f t="shared" si="58"/>
        <v>0</v>
      </c>
      <c r="CI133" s="99">
        <f t="shared" si="58"/>
        <v>0</v>
      </c>
      <c r="CJ133" s="99">
        <f t="shared" si="58"/>
        <v>0</v>
      </c>
      <c r="CK133" s="99">
        <f t="shared" si="58"/>
        <v>0</v>
      </c>
      <c r="CL133" s="100">
        <f t="shared" si="58"/>
        <v>0</v>
      </c>
      <c r="CM133" s="100">
        <f t="shared" si="58"/>
        <v>0</v>
      </c>
      <c r="CN133" s="100">
        <f t="shared" si="58"/>
        <v>0</v>
      </c>
      <c r="CO133" s="100">
        <f t="shared" si="58"/>
        <v>0</v>
      </c>
      <c r="CP133" s="100">
        <f t="shared" si="58"/>
        <v>0</v>
      </c>
      <c r="CQ133" s="100">
        <f t="shared" si="58"/>
        <v>0</v>
      </c>
      <c r="CR133" s="100">
        <f t="shared" si="58"/>
        <v>0</v>
      </c>
      <c r="CS133" s="100">
        <f t="shared" si="58"/>
        <v>0</v>
      </c>
      <c r="CT133" s="100">
        <f t="shared" si="58"/>
        <v>0</v>
      </c>
      <c r="CU133" s="100">
        <f t="shared" si="58"/>
        <v>0</v>
      </c>
      <c r="CV133" s="100">
        <f t="shared" si="58"/>
        <v>0</v>
      </c>
      <c r="CW133" s="100">
        <f t="shared" si="58"/>
        <v>0</v>
      </c>
      <c r="CX133" s="100">
        <f t="shared" si="58"/>
        <v>0</v>
      </c>
      <c r="CY133" s="100">
        <f t="shared" si="58"/>
        <v>0</v>
      </c>
      <c r="CZ133" s="97">
        <f t="shared" si="58"/>
        <v>0</v>
      </c>
      <c r="DA133" s="98">
        <f t="shared" si="58"/>
        <v>0</v>
      </c>
      <c r="DB133" s="99">
        <f t="shared" si="58"/>
        <v>0</v>
      </c>
      <c r="DC133" s="99">
        <f t="shared" si="58"/>
        <v>0</v>
      </c>
      <c r="DD133" s="99">
        <f t="shared" si="58"/>
        <v>0</v>
      </c>
      <c r="DE133" s="100">
        <f t="shared" si="58"/>
        <v>0</v>
      </c>
      <c r="DF133" s="100">
        <f t="shared" si="58"/>
        <v>0</v>
      </c>
      <c r="DG133" s="100">
        <f t="shared" si="58"/>
        <v>0</v>
      </c>
      <c r="DH133" s="100">
        <f t="shared" si="58"/>
        <v>0</v>
      </c>
      <c r="DI133" s="100">
        <f t="shared" si="58"/>
        <v>0</v>
      </c>
      <c r="DJ133" s="100">
        <f t="shared" si="58"/>
        <v>0</v>
      </c>
      <c r="DK133" s="100">
        <f t="shared" si="58"/>
        <v>0</v>
      </c>
      <c r="DL133" s="100">
        <f t="shared" si="58"/>
        <v>0</v>
      </c>
      <c r="DM133" s="100">
        <f t="shared" si="58"/>
        <v>0</v>
      </c>
      <c r="DN133" s="100">
        <f t="shared" si="58"/>
        <v>0</v>
      </c>
      <c r="DO133" s="100">
        <f t="shared" si="58"/>
        <v>0</v>
      </c>
      <c r="DP133" s="100">
        <f t="shared" si="58"/>
        <v>0</v>
      </c>
      <c r="DQ133" s="100">
        <f t="shared" si="58"/>
        <v>0</v>
      </c>
      <c r="DR133" s="100">
        <f t="shared" si="58"/>
        <v>0</v>
      </c>
      <c r="DS133" s="97">
        <f t="shared" si="58"/>
        <v>0</v>
      </c>
      <c r="DT133" s="98">
        <f t="shared" si="58"/>
        <v>0</v>
      </c>
      <c r="DU133" s="99">
        <f t="shared" si="58"/>
        <v>0</v>
      </c>
      <c r="DV133" s="99">
        <f t="shared" si="58"/>
        <v>0</v>
      </c>
      <c r="DW133" s="99">
        <f t="shared" si="58"/>
        <v>0</v>
      </c>
      <c r="DX133" s="100">
        <f t="shared" si="58"/>
        <v>0</v>
      </c>
      <c r="DY133" s="100">
        <f t="shared" si="58"/>
        <v>0</v>
      </c>
      <c r="DZ133" s="100">
        <f t="shared" si="58"/>
        <v>0</v>
      </c>
      <c r="EA133" s="100">
        <f t="shared" si="58"/>
        <v>0</v>
      </c>
      <c r="EB133" s="100">
        <f t="shared" ref="EB133:GP133" si="59">SUM(EB134:EB140)</f>
        <v>0</v>
      </c>
      <c r="EC133" s="100">
        <f t="shared" si="59"/>
        <v>0</v>
      </c>
      <c r="ED133" s="100">
        <f t="shared" si="59"/>
        <v>0</v>
      </c>
      <c r="EE133" s="100">
        <f t="shared" si="59"/>
        <v>0</v>
      </c>
      <c r="EF133" s="100">
        <f t="shared" si="59"/>
        <v>0</v>
      </c>
      <c r="EG133" s="100">
        <f t="shared" si="59"/>
        <v>0</v>
      </c>
      <c r="EH133" s="100">
        <f t="shared" si="59"/>
        <v>0</v>
      </c>
      <c r="EI133" s="100">
        <f t="shared" si="59"/>
        <v>0</v>
      </c>
      <c r="EJ133" s="100">
        <f t="shared" si="59"/>
        <v>0</v>
      </c>
      <c r="EK133" s="100">
        <f t="shared" si="59"/>
        <v>0</v>
      </c>
      <c r="EL133" s="97">
        <f t="shared" si="59"/>
        <v>0</v>
      </c>
      <c r="EM133" s="98">
        <f t="shared" si="59"/>
        <v>0</v>
      </c>
      <c r="EN133" s="99">
        <f t="shared" si="59"/>
        <v>0</v>
      </c>
      <c r="EO133" s="99">
        <f t="shared" si="59"/>
        <v>0</v>
      </c>
      <c r="EP133" s="99">
        <f t="shared" si="59"/>
        <v>0</v>
      </c>
      <c r="EQ133" s="100">
        <f t="shared" si="59"/>
        <v>0</v>
      </c>
      <c r="ER133" s="100">
        <f t="shared" si="59"/>
        <v>0</v>
      </c>
      <c r="ES133" s="100">
        <f t="shared" si="59"/>
        <v>0</v>
      </c>
      <c r="ET133" s="100">
        <f t="shared" si="59"/>
        <v>0</v>
      </c>
      <c r="EU133" s="100">
        <f t="shared" si="59"/>
        <v>0</v>
      </c>
      <c r="EV133" s="100">
        <f t="shared" si="59"/>
        <v>0</v>
      </c>
      <c r="EW133" s="100">
        <f t="shared" si="59"/>
        <v>0</v>
      </c>
      <c r="EX133" s="100">
        <f t="shared" si="59"/>
        <v>0</v>
      </c>
      <c r="EY133" s="100">
        <f t="shared" si="59"/>
        <v>0</v>
      </c>
      <c r="EZ133" s="100">
        <f t="shared" si="59"/>
        <v>0</v>
      </c>
      <c r="FA133" s="100">
        <f t="shared" si="59"/>
        <v>0</v>
      </c>
      <c r="FB133" s="100">
        <f t="shared" si="59"/>
        <v>0</v>
      </c>
      <c r="FC133" s="100">
        <f t="shared" si="59"/>
        <v>0</v>
      </c>
      <c r="FD133" s="100">
        <f t="shared" si="59"/>
        <v>0</v>
      </c>
      <c r="FE133" s="101">
        <f t="shared" si="59"/>
        <v>0</v>
      </c>
    </row>
    <row r="134" spans="2:161" s="6" customFormat="1" ht="13.2">
      <c r="B134" s="79" t="s">
        <v>242</v>
      </c>
      <c r="C134" s="103" t="s">
        <v>243</v>
      </c>
      <c r="D134" s="81">
        <f t="shared" ref="D134:D140" si="60">SUM(E134:AB134)</f>
        <v>2359.2600000000002</v>
      </c>
      <c r="E134" s="82">
        <f t="shared" ref="E134:T140" si="61">SUM(AC134,AV134,BO134,CH134,DA134,DT134,EM134)</f>
        <v>2359.2600000000002</v>
      </c>
      <c r="F134" s="83">
        <f t="shared" si="61"/>
        <v>0</v>
      </c>
      <c r="G134" s="83">
        <f t="shared" si="61"/>
        <v>0</v>
      </c>
      <c r="H134" s="83">
        <f t="shared" si="61"/>
        <v>0</v>
      </c>
      <c r="I134" s="84">
        <f t="shared" si="61"/>
        <v>0</v>
      </c>
      <c r="J134" s="84">
        <f t="shared" si="61"/>
        <v>0</v>
      </c>
      <c r="K134" s="84">
        <f t="shared" si="61"/>
        <v>0</v>
      </c>
      <c r="L134" s="84">
        <f t="shared" si="61"/>
        <v>0</v>
      </c>
      <c r="M134" s="84">
        <f t="shared" si="61"/>
        <v>0</v>
      </c>
      <c r="N134" s="84">
        <f t="shared" si="61"/>
        <v>0</v>
      </c>
      <c r="O134" s="84">
        <f t="shared" si="61"/>
        <v>0</v>
      </c>
      <c r="P134" s="84">
        <f t="shared" si="61"/>
        <v>0</v>
      </c>
      <c r="Q134" s="84">
        <f t="shared" si="61"/>
        <v>0</v>
      </c>
      <c r="R134" s="84">
        <f t="shared" si="61"/>
        <v>0</v>
      </c>
      <c r="S134" s="84">
        <f t="shared" si="61"/>
        <v>0</v>
      </c>
      <c r="T134" s="84">
        <f t="shared" si="61"/>
        <v>0</v>
      </c>
      <c r="U134" s="84">
        <f t="shared" ref="O134:V140" si="62">SUM(AS134,BL134,CE134,CX134,DQ134,EJ134,FC134)</f>
        <v>0</v>
      </c>
      <c r="V134" s="84">
        <f t="shared" si="62"/>
        <v>0</v>
      </c>
      <c r="W134" s="84">
        <f>SIS064_F_Zemesmokescios1Elektrosenergi5</f>
        <v>0</v>
      </c>
      <c r="X134" s="84">
        <f>SUM(SIS062_F_Zemesmokescios1Geriamojovande1,SIS063_F_Zemesmokescios1Geriamojovande1,SIS065_F_Zemesmokescios1Geriamojovande1)</f>
        <v>0</v>
      </c>
      <c r="Y134" s="84">
        <f>SUM(SIS062_F_Zemesmokescios1Paslaugaproduk8,SIS063_F_Zemesmokescios1Paslaugaproduk8,SIS065_F_Zemesmokescios1Paslaugaproduk8)</f>
        <v>0</v>
      </c>
      <c r="Z134" s="84">
        <f>SIS064_F_Zemesmokescios1Elektrosenergi6</f>
        <v>0</v>
      </c>
      <c r="AA134" s="84">
        <f>SUM(SIS062_F_Zemesmokescios1Konkurencinesi1,SIS063_F_Zemesmokescios1Konkurencinesi1,SIS065_F_Zemesmokescios1Konkurencinesi1,)</f>
        <v>0</v>
      </c>
      <c r="AB134" s="84">
        <f>SUM(SIS062_F_Zemesmokescios1Paslaugaproduk9,SIS063_F_Zemesmokescios1Paslaugaproduk9,SIS065_F_Zemesmokescios1Paslaugaproduk9)</f>
        <v>0</v>
      </c>
      <c r="AC134" s="85">
        <v>2359.2600000000002</v>
      </c>
      <c r="AD134" s="86">
        <v>0</v>
      </c>
      <c r="AE134" s="86">
        <v>0</v>
      </c>
      <c r="AF134" s="86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8">
        <v>0</v>
      </c>
      <c r="AV134" s="85">
        <v>0</v>
      </c>
      <c r="AW134" s="86">
        <v>0</v>
      </c>
      <c r="AX134" s="86">
        <v>0</v>
      </c>
      <c r="AY134" s="86">
        <v>0</v>
      </c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87"/>
      <c r="BN134" s="88"/>
      <c r="BO134" s="85"/>
      <c r="BP134" s="86"/>
      <c r="BQ134" s="86"/>
      <c r="BR134" s="86"/>
      <c r="BS134" s="87"/>
      <c r="BT134" s="87"/>
      <c r="BU134" s="87"/>
      <c r="BV134" s="87"/>
      <c r="BW134" s="87"/>
      <c r="BX134" s="87"/>
      <c r="BY134" s="87"/>
      <c r="BZ134" s="87"/>
      <c r="CA134" s="87"/>
      <c r="CB134" s="87"/>
      <c r="CC134" s="87"/>
      <c r="CD134" s="87"/>
      <c r="CE134" s="87"/>
      <c r="CF134" s="87"/>
      <c r="CG134" s="88"/>
      <c r="CH134" s="85"/>
      <c r="CI134" s="86"/>
      <c r="CJ134" s="86"/>
      <c r="CK134" s="86"/>
      <c r="CL134" s="87"/>
      <c r="CM134" s="87"/>
      <c r="CN134" s="87"/>
      <c r="CO134" s="87"/>
      <c r="CP134" s="87"/>
      <c r="CQ134" s="87"/>
      <c r="CR134" s="87"/>
      <c r="CS134" s="87"/>
      <c r="CT134" s="87"/>
      <c r="CU134" s="87"/>
      <c r="CV134" s="87"/>
      <c r="CW134" s="87"/>
      <c r="CX134" s="87"/>
      <c r="CY134" s="87"/>
      <c r="CZ134" s="88"/>
      <c r="DA134" s="85"/>
      <c r="DB134" s="86"/>
      <c r="DC134" s="86"/>
      <c r="DD134" s="86"/>
      <c r="DE134" s="87"/>
      <c r="DF134" s="87"/>
      <c r="DG134" s="87"/>
      <c r="DH134" s="87"/>
      <c r="DI134" s="87"/>
      <c r="DJ134" s="87"/>
      <c r="DK134" s="87"/>
      <c r="DL134" s="87"/>
      <c r="DM134" s="87"/>
      <c r="DN134" s="87"/>
      <c r="DO134" s="87"/>
      <c r="DP134" s="87"/>
      <c r="DQ134" s="87"/>
      <c r="DR134" s="87"/>
      <c r="DS134" s="88"/>
      <c r="DT134" s="85"/>
      <c r="DU134" s="86"/>
      <c r="DV134" s="86"/>
      <c r="DW134" s="86"/>
      <c r="DX134" s="87"/>
      <c r="DY134" s="87"/>
      <c r="DZ134" s="87"/>
      <c r="EA134" s="87"/>
      <c r="EB134" s="87"/>
      <c r="EC134" s="87"/>
      <c r="ED134" s="87"/>
      <c r="EE134" s="87"/>
      <c r="EF134" s="87"/>
      <c r="EG134" s="87"/>
      <c r="EH134" s="87"/>
      <c r="EI134" s="87"/>
      <c r="EJ134" s="87"/>
      <c r="EK134" s="87"/>
      <c r="EL134" s="88"/>
      <c r="EM134" s="85"/>
      <c r="EN134" s="86"/>
      <c r="EO134" s="86"/>
      <c r="EP134" s="86"/>
      <c r="EQ134" s="87"/>
      <c r="ER134" s="87"/>
      <c r="ES134" s="87"/>
      <c r="ET134" s="87"/>
      <c r="EU134" s="87"/>
      <c r="EV134" s="87"/>
      <c r="EW134" s="87"/>
      <c r="EX134" s="87"/>
      <c r="EY134" s="87"/>
      <c r="EZ134" s="87"/>
      <c r="FA134" s="87"/>
      <c r="FB134" s="87"/>
      <c r="FC134" s="87"/>
      <c r="FD134" s="87"/>
      <c r="FE134" s="89"/>
    </row>
    <row r="135" spans="2:161" s="6" customFormat="1" ht="13.2">
      <c r="B135" s="79" t="s">
        <v>244</v>
      </c>
      <c r="C135" s="103" t="s">
        <v>245</v>
      </c>
      <c r="D135" s="81">
        <f t="shared" si="60"/>
        <v>37407</v>
      </c>
      <c r="E135" s="82">
        <f t="shared" si="61"/>
        <v>24095.895962284652</v>
      </c>
      <c r="F135" s="83">
        <f t="shared" si="61"/>
        <v>0</v>
      </c>
      <c r="G135" s="83">
        <f t="shared" si="61"/>
        <v>0</v>
      </c>
      <c r="H135" s="83">
        <f t="shared" si="61"/>
        <v>0</v>
      </c>
      <c r="I135" s="84">
        <f t="shared" si="61"/>
        <v>0</v>
      </c>
      <c r="J135" s="84">
        <f t="shared" si="61"/>
        <v>7379.2468220913206</v>
      </c>
      <c r="K135" s="84">
        <f t="shared" si="61"/>
        <v>0</v>
      </c>
      <c r="L135" s="84">
        <f t="shared" si="61"/>
        <v>0</v>
      </c>
      <c r="M135" s="84">
        <f t="shared" si="61"/>
        <v>1137.8537205638218</v>
      </c>
      <c r="N135" s="84">
        <f t="shared" si="61"/>
        <v>945.6433149245571</v>
      </c>
      <c r="O135" s="84">
        <f t="shared" si="62"/>
        <v>0</v>
      </c>
      <c r="P135" s="84">
        <f t="shared" si="62"/>
        <v>775.97700385337225</v>
      </c>
      <c r="Q135" s="84">
        <f t="shared" si="62"/>
        <v>0</v>
      </c>
      <c r="R135" s="84">
        <f t="shared" si="62"/>
        <v>0</v>
      </c>
      <c r="S135" s="84">
        <f t="shared" si="62"/>
        <v>2808.9631704389744</v>
      </c>
      <c r="T135" s="84">
        <f t="shared" si="62"/>
        <v>0</v>
      </c>
      <c r="U135" s="84">
        <f t="shared" si="62"/>
        <v>0</v>
      </c>
      <c r="V135" s="84">
        <f t="shared" si="62"/>
        <v>0</v>
      </c>
      <c r="W135" s="84">
        <f>SIS064_F_Nekilnojamotur1Elektrosenergi5</f>
        <v>0</v>
      </c>
      <c r="X135" s="84">
        <f>SUM(SIS062_F_Nekilnojamotur1Geriamojovande1,SIS063_F_Nekilnojamotur1Geriamojovande1,SIS065_F_Nekilnojamotur1Geriamojovande1)</f>
        <v>0</v>
      </c>
      <c r="Y135" s="84">
        <f>SUM(SIS062_F_Nekilnojamotur1Paslaugaproduk8,SIS063_F_Nekilnojamotur1Paslaugaproduk8,SIS065_F_Nekilnojamotur1Paslaugaproduk8)</f>
        <v>0</v>
      </c>
      <c r="Z135" s="84">
        <f>SIS064_F_Nekilnojamotur1Elektrosenergi6</f>
        <v>0</v>
      </c>
      <c r="AA135" s="84">
        <f>SUM(SIS062_F_Nekilnojamotur1Konkurencinesi1,SIS063_F_Nekilnojamotur1Konkurencinesi1,SIS065_F_Nekilnojamotur1Konkurencinesi1,)</f>
        <v>0</v>
      </c>
      <c r="AB135" s="84">
        <f>SUM(SIS062_F_Nekilnojamotur1Paslaugaproduk9,SIS063_F_Nekilnojamotur1Paslaugaproduk9,SIS065_F_Nekilnojamotur1Paslaugaproduk9)</f>
        <v>263.42000584330037</v>
      </c>
      <c r="AC135" s="85">
        <v>24095.895962284652</v>
      </c>
      <c r="AD135" s="86">
        <v>0</v>
      </c>
      <c r="AE135" s="86">
        <v>0</v>
      </c>
      <c r="AF135" s="86">
        <v>0</v>
      </c>
      <c r="AG135" s="87">
        <v>0</v>
      </c>
      <c r="AH135" s="87">
        <v>7379.2468220913206</v>
      </c>
      <c r="AI135" s="87">
        <v>0</v>
      </c>
      <c r="AJ135" s="87">
        <v>0</v>
      </c>
      <c r="AK135" s="87">
        <v>1137.8537205638218</v>
      </c>
      <c r="AL135" s="87">
        <v>945.6433149245571</v>
      </c>
      <c r="AM135" s="87">
        <v>0</v>
      </c>
      <c r="AN135" s="87">
        <v>775.97700385337225</v>
      </c>
      <c r="AO135" s="87">
        <v>0</v>
      </c>
      <c r="AP135" s="87">
        <v>0</v>
      </c>
      <c r="AQ135" s="87">
        <v>2808.9631704389744</v>
      </c>
      <c r="AR135" s="87">
        <v>0</v>
      </c>
      <c r="AS135" s="87">
        <v>0</v>
      </c>
      <c r="AT135" s="87">
        <v>0</v>
      </c>
      <c r="AU135" s="88">
        <v>0</v>
      </c>
      <c r="AV135" s="85">
        <v>0</v>
      </c>
      <c r="AW135" s="86">
        <v>0</v>
      </c>
      <c r="AX135" s="86">
        <v>0</v>
      </c>
      <c r="AY135" s="86">
        <v>0</v>
      </c>
      <c r="AZ135" s="87"/>
      <c r="BA135" s="87"/>
      <c r="BB135" s="87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8"/>
      <c r="BO135" s="85"/>
      <c r="BP135" s="86"/>
      <c r="BQ135" s="86"/>
      <c r="BR135" s="86"/>
      <c r="BS135" s="87"/>
      <c r="BT135" s="87"/>
      <c r="BU135" s="87"/>
      <c r="BV135" s="87"/>
      <c r="BW135" s="87"/>
      <c r="BX135" s="87"/>
      <c r="BY135" s="87"/>
      <c r="BZ135" s="87"/>
      <c r="CA135" s="87"/>
      <c r="CB135" s="87"/>
      <c r="CC135" s="87"/>
      <c r="CD135" s="87"/>
      <c r="CE135" s="87"/>
      <c r="CF135" s="87"/>
      <c r="CG135" s="88"/>
      <c r="CH135" s="85"/>
      <c r="CI135" s="86"/>
      <c r="CJ135" s="86"/>
      <c r="CK135" s="86"/>
      <c r="CL135" s="87"/>
      <c r="CM135" s="87"/>
      <c r="CN135" s="87"/>
      <c r="CO135" s="87"/>
      <c r="CP135" s="87"/>
      <c r="CQ135" s="87"/>
      <c r="CR135" s="87"/>
      <c r="CS135" s="87"/>
      <c r="CT135" s="87"/>
      <c r="CU135" s="87"/>
      <c r="CV135" s="87"/>
      <c r="CW135" s="87"/>
      <c r="CX135" s="87"/>
      <c r="CY135" s="87"/>
      <c r="CZ135" s="88"/>
      <c r="DA135" s="85"/>
      <c r="DB135" s="86"/>
      <c r="DC135" s="86"/>
      <c r="DD135" s="86"/>
      <c r="DE135" s="87"/>
      <c r="DF135" s="87"/>
      <c r="DG135" s="87"/>
      <c r="DH135" s="87"/>
      <c r="DI135" s="87"/>
      <c r="DJ135" s="87"/>
      <c r="DK135" s="87"/>
      <c r="DL135" s="87"/>
      <c r="DM135" s="87"/>
      <c r="DN135" s="87"/>
      <c r="DO135" s="87"/>
      <c r="DP135" s="87"/>
      <c r="DQ135" s="87"/>
      <c r="DR135" s="87"/>
      <c r="DS135" s="88"/>
      <c r="DT135" s="85"/>
      <c r="DU135" s="86"/>
      <c r="DV135" s="86"/>
      <c r="DW135" s="86"/>
      <c r="DX135" s="87"/>
      <c r="DY135" s="87"/>
      <c r="DZ135" s="87"/>
      <c r="EA135" s="87"/>
      <c r="EB135" s="87"/>
      <c r="EC135" s="87"/>
      <c r="ED135" s="87"/>
      <c r="EE135" s="87"/>
      <c r="EF135" s="87"/>
      <c r="EG135" s="87"/>
      <c r="EH135" s="87"/>
      <c r="EI135" s="87"/>
      <c r="EJ135" s="87"/>
      <c r="EK135" s="87"/>
      <c r="EL135" s="88"/>
      <c r="EM135" s="85"/>
      <c r="EN135" s="86"/>
      <c r="EO135" s="86"/>
      <c r="EP135" s="86"/>
      <c r="EQ135" s="87"/>
      <c r="ER135" s="87"/>
      <c r="ES135" s="87"/>
      <c r="ET135" s="87"/>
      <c r="EU135" s="87"/>
      <c r="EV135" s="87"/>
      <c r="EW135" s="87"/>
      <c r="EX135" s="87"/>
      <c r="EY135" s="87"/>
      <c r="EZ135" s="87"/>
      <c r="FA135" s="87"/>
      <c r="FB135" s="87"/>
      <c r="FC135" s="87"/>
      <c r="FD135" s="87"/>
      <c r="FE135" s="89"/>
    </row>
    <row r="136" spans="2:161" s="6" customFormat="1" ht="13.2">
      <c r="B136" s="79" t="s">
        <v>246</v>
      </c>
      <c r="C136" s="103" t="s">
        <v>247</v>
      </c>
      <c r="D136" s="81">
        <f t="shared" si="60"/>
        <v>3063.9999999999995</v>
      </c>
      <c r="E136" s="82">
        <f t="shared" si="61"/>
        <v>3057.5947851290166</v>
      </c>
      <c r="F136" s="83">
        <f t="shared" si="61"/>
        <v>0</v>
      </c>
      <c r="G136" s="83">
        <f t="shared" si="61"/>
        <v>0</v>
      </c>
      <c r="H136" s="83">
        <f t="shared" si="61"/>
        <v>0</v>
      </c>
      <c r="I136" s="84">
        <f t="shared" si="61"/>
        <v>0</v>
      </c>
      <c r="J136" s="84">
        <f t="shared" si="61"/>
        <v>3.5508445691352897</v>
      </c>
      <c r="K136" s="84">
        <f t="shared" si="61"/>
        <v>0</v>
      </c>
      <c r="L136" s="84">
        <f t="shared" si="61"/>
        <v>0</v>
      </c>
      <c r="M136" s="84">
        <f t="shared" si="61"/>
        <v>0.54752765445367957</v>
      </c>
      <c r="N136" s="84">
        <f t="shared" si="61"/>
        <v>0.45503728362718282</v>
      </c>
      <c r="O136" s="84">
        <f t="shared" si="62"/>
        <v>0</v>
      </c>
      <c r="P136" s="84">
        <f t="shared" si="62"/>
        <v>0.37339498140349936</v>
      </c>
      <c r="Q136" s="84">
        <f t="shared" si="62"/>
        <v>0</v>
      </c>
      <c r="R136" s="84">
        <f t="shared" si="62"/>
        <v>0</v>
      </c>
      <c r="S136" s="84">
        <f t="shared" si="62"/>
        <v>1.3516544247841726</v>
      </c>
      <c r="T136" s="84">
        <f t="shared" si="62"/>
        <v>0</v>
      </c>
      <c r="U136" s="84">
        <f t="shared" si="62"/>
        <v>0</v>
      </c>
      <c r="V136" s="84">
        <f t="shared" si="62"/>
        <v>0</v>
      </c>
      <c r="W136" s="84">
        <f>SIS064_F_Aplinkostarsos1Elektrosenergi5</f>
        <v>0</v>
      </c>
      <c r="X136" s="84">
        <f>SUM(SIS062_F_Aplinkostarsos1Geriamojovande1,SIS063_F_Aplinkostarsos1Geriamojovande1,SIS065_F_Aplinkostarsos1Geriamojovande1)</f>
        <v>0</v>
      </c>
      <c r="Y136" s="84">
        <f>SUM(SIS062_F_Aplinkostarsos1Paslaugaproduk8,SIS063_F_Aplinkostarsos1Paslaugaproduk8,SIS065_F_Aplinkostarsos1Paslaugaproduk8)</f>
        <v>0</v>
      </c>
      <c r="Z136" s="84">
        <f>SIS064_F_Aplinkostarsos1Elektrosenergi6</f>
        <v>0</v>
      </c>
      <c r="AA136" s="84">
        <f>SUM(SIS062_F_Aplinkostarsos1Konkurencinesi1,SIS063_F_Aplinkostarsos1Konkurencinesi1,SIS065_F_Aplinkostarsos1Konkurencinesi1,)</f>
        <v>0</v>
      </c>
      <c r="AB136" s="84">
        <f>SUM(SIS062_F_Aplinkostarsos1Paslaugaproduk9,SIS063_F_Aplinkostarsos1Paslaugaproduk9,SIS065_F_Aplinkostarsos1Paslaugaproduk9)</f>
        <v>0.12675595757958155</v>
      </c>
      <c r="AC136" s="85">
        <v>3057.5947851290166</v>
      </c>
      <c r="AD136" s="86">
        <v>0</v>
      </c>
      <c r="AE136" s="86">
        <v>0</v>
      </c>
      <c r="AF136" s="86">
        <v>0</v>
      </c>
      <c r="AG136" s="87">
        <v>0</v>
      </c>
      <c r="AH136" s="87">
        <v>3.5508445691352897</v>
      </c>
      <c r="AI136" s="87">
        <v>0</v>
      </c>
      <c r="AJ136" s="87">
        <v>0</v>
      </c>
      <c r="AK136" s="87">
        <v>0.54752765445367957</v>
      </c>
      <c r="AL136" s="87">
        <v>0.45503728362718282</v>
      </c>
      <c r="AM136" s="87">
        <v>0</v>
      </c>
      <c r="AN136" s="87">
        <v>0.37339498140349936</v>
      </c>
      <c r="AO136" s="87">
        <v>0</v>
      </c>
      <c r="AP136" s="87">
        <v>0</v>
      </c>
      <c r="AQ136" s="87">
        <v>1.3516544247841726</v>
      </c>
      <c r="AR136" s="87">
        <v>0</v>
      </c>
      <c r="AS136" s="87">
        <v>0</v>
      </c>
      <c r="AT136" s="87">
        <v>0</v>
      </c>
      <c r="AU136" s="88">
        <v>0</v>
      </c>
      <c r="AV136" s="85">
        <v>0</v>
      </c>
      <c r="AW136" s="86">
        <v>0</v>
      </c>
      <c r="AX136" s="86">
        <v>0</v>
      </c>
      <c r="AY136" s="86">
        <v>0</v>
      </c>
      <c r="AZ136" s="87"/>
      <c r="BA136" s="87"/>
      <c r="BB136" s="87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8"/>
      <c r="BO136" s="85"/>
      <c r="BP136" s="86"/>
      <c r="BQ136" s="86"/>
      <c r="BR136" s="86"/>
      <c r="BS136" s="87"/>
      <c r="BT136" s="87"/>
      <c r="BU136" s="87"/>
      <c r="BV136" s="87"/>
      <c r="BW136" s="87"/>
      <c r="BX136" s="87"/>
      <c r="BY136" s="87"/>
      <c r="BZ136" s="87"/>
      <c r="CA136" s="87"/>
      <c r="CB136" s="87"/>
      <c r="CC136" s="87"/>
      <c r="CD136" s="87"/>
      <c r="CE136" s="87"/>
      <c r="CF136" s="87"/>
      <c r="CG136" s="88"/>
      <c r="CH136" s="85"/>
      <c r="CI136" s="86"/>
      <c r="CJ136" s="86"/>
      <c r="CK136" s="86"/>
      <c r="CL136" s="87"/>
      <c r="CM136" s="87"/>
      <c r="CN136" s="87"/>
      <c r="CO136" s="87"/>
      <c r="CP136" s="87"/>
      <c r="CQ136" s="87"/>
      <c r="CR136" s="87"/>
      <c r="CS136" s="87"/>
      <c r="CT136" s="87"/>
      <c r="CU136" s="87"/>
      <c r="CV136" s="87"/>
      <c r="CW136" s="87"/>
      <c r="CX136" s="87"/>
      <c r="CY136" s="87"/>
      <c r="CZ136" s="88"/>
      <c r="DA136" s="85"/>
      <c r="DB136" s="86"/>
      <c r="DC136" s="86"/>
      <c r="DD136" s="86"/>
      <c r="DE136" s="87"/>
      <c r="DF136" s="87"/>
      <c r="DG136" s="87"/>
      <c r="DH136" s="87"/>
      <c r="DI136" s="87"/>
      <c r="DJ136" s="87"/>
      <c r="DK136" s="87"/>
      <c r="DL136" s="87"/>
      <c r="DM136" s="87"/>
      <c r="DN136" s="87"/>
      <c r="DO136" s="87"/>
      <c r="DP136" s="87"/>
      <c r="DQ136" s="87"/>
      <c r="DR136" s="87"/>
      <c r="DS136" s="88"/>
      <c r="DT136" s="85"/>
      <c r="DU136" s="86"/>
      <c r="DV136" s="86"/>
      <c r="DW136" s="86"/>
      <c r="DX136" s="87"/>
      <c r="DY136" s="87"/>
      <c r="DZ136" s="87"/>
      <c r="EA136" s="87"/>
      <c r="EB136" s="87"/>
      <c r="EC136" s="87"/>
      <c r="ED136" s="87"/>
      <c r="EE136" s="87"/>
      <c r="EF136" s="87"/>
      <c r="EG136" s="87"/>
      <c r="EH136" s="87"/>
      <c r="EI136" s="87"/>
      <c r="EJ136" s="87"/>
      <c r="EK136" s="87"/>
      <c r="EL136" s="88"/>
      <c r="EM136" s="85"/>
      <c r="EN136" s="86"/>
      <c r="EO136" s="86"/>
      <c r="EP136" s="86"/>
      <c r="EQ136" s="87"/>
      <c r="ER136" s="87"/>
      <c r="ES136" s="87"/>
      <c r="ET136" s="87"/>
      <c r="EU136" s="87"/>
      <c r="EV136" s="87"/>
      <c r="EW136" s="87"/>
      <c r="EX136" s="87"/>
      <c r="EY136" s="87"/>
      <c r="EZ136" s="87"/>
      <c r="FA136" s="87"/>
      <c r="FB136" s="87"/>
      <c r="FC136" s="87"/>
      <c r="FD136" s="87"/>
      <c r="FE136" s="89"/>
    </row>
    <row r="137" spans="2:161" s="6" customFormat="1" ht="13.2">
      <c r="B137" s="79" t="s">
        <v>248</v>
      </c>
      <c r="C137" s="103" t="s">
        <v>249</v>
      </c>
      <c r="D137" s="81">
        <f t="shared" si="60"/>
        <v>0</v>
      </c>
      <c r="E137" s="82">
        <f t="shared" si="61"/>
        <v>0</v>
      </c>
      <c r="F137" s="83">
        <f t="shared" si="61"/>
        <v>0</v>
      </c>
      <c r="G137" s="83">
        <f t="shared" si="61"/>
        <v>0</v>
      </c>
      <c r="H137" s="83">
        <f t="shared" si="61"/>
        <v>0</v>
      </c>
      <c r="I137" s="84">
        <f t="shared" si="61"/>
        <v>0</v>
      </c>
      <c r="J137" s="84">
        <f t="shared" si="61"/>
        <v>0</v>
      </c>
      <c r="K137" s="84">
        <f t="shared" si="61"/>
        <v>0</v>
      </c>
      <c r="L137" s="84">
        <f t="shared" si="61"/>
        <v>0</v>
      </c>
      <c r="M137" s="84">
        <f t="shared" si="61"/>
        <v>0</v>
      </c>
      <c r="N137" s="84">
        <f t="shared" si="61"/>
        <v>0</v>
      </c>
      <c r="O137" s="84">
        <f t="shared" si="62"/>
        <v>0</v>
      </c>
      <c r="P137" s="84">
        <f t="shared" si="62"/>
        <v>0</v>
      </c>
      <c r="Q137" s="84">
        <f t="shared" si="62"/>
        <v>0</v>
      </c>
      <c r="R137" s="84">
        <f t="shared" si="62"/>
        <v>0</v>
      </c>
      <c r="S137" s="84">
        <f t="shared" si="62"/>
        <v>0</v>
      </c>
      <c r="T137" s="84">
        <f t="shared" si="62"/>
        <v>0</v>
      </c>
      <c r="U137" s="84">
        <f t="shared" si="62"/>
        <v>0</v>
      </c>
      <c r="V137" s="84">
        <f t="shared" si="62"/>
        <v>0</v>
      </c>
      <c r="W137" s="84">
        <f>SIS064_F_Valstybiniuist1Elektrosenergi5</f>
        <v>0</v>
      </c>
      <c r="X137" s="84">
        <f>SUM(SIS062_F_Valstybiniuist1Geriamojovande1,SIS063_F_Valstybiniuist1Geriamojovande1,SIS065_F_Valstybiniuist1Geriamojovande1)</f>
        <v>0</v>
      </c>
      <c r="Y137" s="84">
        <f>SUM(SIS062_F_Valstybiniuist1Paslaugaproduk8,SIS063_F_Valstybiniuist1Paslaugaproduk8,SIS065_F_Valstybiniuist1Paslaugaproduk8)</f>
        <v>0</v>
      </c>
      <c r="Z137" s="84">
        <f>SIS064_F_Valstybiniuist1Elektrosenergi6</f>
        <v>0</v>
      </c>
      <c r="AA137" s="84">
        <f>SUM(SIS062_F_Valstybiniuist1Konkurencinesi1,SIS063_F_Valstybiniuist1Konkurencinesi1,SIS065_F_Valstybiniuist1Konkurencinesi1,)</f>
        <v>0</v>
      </c>
      <c r="AB137" s="84">
        <f>SUM(SIS062_F_Valstybiniuist1Paslaugaproduk9,SIS063_F_Valstybiniuist1Paslaugaproduk9,SIS065_F_Valstybiniuist1Paslaugaproduk9)</f>
        <v>0</v>
      </c>
      <c r="AC137" s="85">
        <v>0</v>
      </c>
      <c r="AD137" s="86">
        <v>0</v>
      </c>
      <c r="AE137" s="86">
        <v>0</v>
      </c>
      <c r="AF137" s="86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8">
        <v>0</v>
      </c>
      <c r="AV137" s="85">
        <v>0</v>
      </c>
      <c r="AW137" s="86">
        <v>0</v>
      </c>
      <c r="AX137" s="86">
        <v>0</v>
      </c>
      <c r="AY137" s="86">
        <v>0</v>
      </c>
      <c r="AZ137" s="87"/>
      <c r="BA137" s="87"/>
      <c r="BB137" s="87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8"/>
      <c r="BO137" s="85"/>
      <c r="BP137" s="86"/>
      <c r="BQ137" s="86"/>
      <c r="BR137" s="86"/>
      <c r="BS137" s="87"/>
      <c r="BT137" s="87"/>
      <c r="BU137" s="87"/>
      <c r="BV137" s="87"/>
      <c r="BW137" s="87"/>
      <c r="BX137" s="87"/>
      <c r="BY137" s="87"/>
      <c r="BZ137" s="87"/>
      <c r="CA137" s="87"/>
      <c r="CB137" s="87"/>
      <c r="CC137" s="87"/>
      <c r="CD137" s="87"/>
      <c r="CE137" s="87"/>
      <c r="CF137" s="87"/>
      <c r="CG137" s="88"/>
      <c r="CH137" s="85"/>
      <c r="CI137" s="86"/>
      <c r="CJ137" s="86"/>
      <c r="CK137" s="86"/>
      <c r="CL137" s="87"/>
      <c r="CM137" s="87"/>
      <c r="CN137" s="87"/>
      <c r="CO137" s="87"/>
      <c r="CP137" s="87"/>
      <c r="CQ137" s="87"/>
      <c r="CR137" s="87"/>
      <c r="CS137" s="87"/>
      <c r="CT137" s="87"/>
      <c r="CU137" s="87"/>
      <c r="CV137" s="87"/>
      <c r="CW137" s="87"/>
      <c r="CX137" s="87"/>
      <c r="CY137" s="87"/>
      <c r="CZ137" s="88"/>
      <c r="DA137" s="85"/>
      <c r="DB137" s="86"/>
      <c r="DC137" s="86"/>
      <c r="DD137" s="86"/>
      <c r="DE137" s="87"/>
      <c r="DF137" s="87"/>
      <c r="DG137" s="87"/>
      <c r="DH137" s="87"/>
      <c r="DI137" s="87"/>
      <c r="DJ137" s="87"/>
      <c r="DK137" s="87"/>
      <c r="DL137" s="87"/>
      <c r="DM137" s="87"/>
      <c r="DN137" s="87"/>
      <c r="DO137" s="87"/>
      <c r="DP137" s="87"/>
      <c r="DQ137" s="87"/>
      <c r="DR137" s="87"/>
      <c r="DS137" s="88"/>
      <c r="DT137" s="85"/>
      <c r="DU137" s="86"/>
      <c r="DV137" s="86"/>
      <c r="DW137" s="86"/>
      <c r="DX137" s="87"/>
      <c r="DY137" s="87"/>
      <c r="DZ137" s="87"/>
      <c r="EA137" s="87"/>
      <c r="EB137" s="87"/>
      <c r="EC137" s="87"/>
      <c r="ED137" s="87"/>
      <c r="EE137" s="87"/>
      <c r="EF137" s="87"/>
      <c r="EG137" s="87"/>
      <c r="EH137" s="87"/>
      <c r="EI137" s="87"/>
      <c r="EJ137" s="87"/>
      <c r="EK137" s="87"/>
      <c r="EL137" s="88"/>
      <c r="EM137" s="85"/>
      <c r="EN137" s="86"/>
      <c r="EO137" s="86"/>
      <c r="EP137" s="86"/>
      <c r="EQ137" s="87"/>
      <c r="ER137" s="87"/>
      <c r="ES137" s="87"/>
      <c r="ET137" s="87"/>
      <c r="EU137" s="87"/>
      <c r="EV137" s="87"/>
      <c r="EW137" s="87"/>
      <c r="EX137" s="87"/>
      <c r="EY137" s="87"/>
      <c r="EZ137" s="87"/>
      <c r="FA137" s="87"/>
      <c r="FB137" s="87"/>
      <c r="FC137" s="87"/>
      <c r="FD137" s="87"/>
      <c r="FE137" s="89"/>
    </row>
    <row r="138" spans="2:161" s="6" customFormat="1" ht="13.2">
      <c r="B138" s="79" t="s">
        <v>250</v>
      </c>
      <c r="C138" s="103" t="s">
        <v>251</v>
      </c>
      <c r="D138" s="81">
        <f t="shared" si="60"/>
        <v>818</v>
      </c>
      <c r="E138" s="82">
        <f t="shared" si="61"/>
        <v>526.91856864086526</v>
      </c>
      <c r="F138" s="83">
        <f t="shared" si="61"/>
        <v>0</v>
      </c>
      <c r="G138" s="83">
        <f t="shared" si="61"/>
        <v>0</v>
      </c>
      <c r="H138" s="83">
        <f t="shared" si="61"/>
        <v>0</v>
      </c>
      <c r="I138" s="84">
        <f t="shared" si="61"/>
        <v>0</v>
      </c>
      <c r="J138" s="84">
        <f t="shared" si="61"/>
        <v>161.36615875292594</v>
      </c>
      <c r="K138" s="84">
        <f t="shared" si="61"/>
        <v>0</v>
      </c>
      <c r="L138" s="84">
        <f t="shared" si="61"/>
        <v>0</v>
      </c>
      <c r="M138" s="84">
        <f t="shared" si="61"/>
        <v>24.882090074617217</v>
      </c>
      <c r="N138" s="84">
        <f t="shared" si="61"/>
        <v>20.678916555946419</v>
      </c>
      <c r="O138" s="84">
        <f t="shared" si="62"/>
        <v>0</v>
      </c>
      <c r="P138" s="84">
        <f t="shared" si="62"/>
        <v>16.968727488225692</v>
      </c>
      <c r="Q138" s="84">
        <f t="shared" si="62"/>
        <v>0</v>
      </c>
      <c r="R138" s="84">
        <f t="shared" si="62"/>
        <v>0</v>
      </c>
      <c r="S138" s="84">
        <f t="shared" si="62"/>
        <v>61.425184415191843</v>
      </c>
      <c r="T138" s="84">
        <f t="shared" si="62"/>
        <v>0</v>
      </c>
      <c r="U138" s="84">
        <f t="shared" si="62"/>
        <v>0</v>
      </c>
      <c r="V138" s="84">
        <f t="shared" si="62"/>
        <v>0</v>
      </c>
      <c r="W138" s="84">
        <f>SIS064_F_Zyminiomokesci1Elektrosenergi5</f>
        <v>0</v>
      </c>
      <c r="X138" s="84">
        <f>SUM(SIS062_F_Zyminiomokesci1Geriamojovande1,SIS063_F_Zyminiomokesci1Geriamojovande1,SIS065_F_Zyminiomokesci1Geriamojovande1)</f>
        <v>0</v>
      </c>
      <c r="Y138" s="84">
        <f>SUM(SIS062_F_Zyminiomokesci1Paslaugaproduk8,SIS063_F_Zyminiomokesci1Paslaugaproduk8,SIS065_F_Zyminiomokesci1Paslaugaproduk8)</f>
        <v>0</v>
      </c>
      <c r="Z138" s="84">
        <f>SIS064_F_Zyminiomokesci1Elektrosenergi6</f>
        <v>0</v>
      </c>
      <c r="AA138" s="84">
        <f>SUM(SIS062_F_Zyminiomokesci1Konkurencinesi1,SIS063_F_Zyminiomokesci1Konkurencinesi1,SIS065_F_Zyminiomokesci1Konkurencinesi1,)</f>
        <v>0</v>
      </c>
      <c r="AB138" s="84">
        <f>SUM(SIS062_F_Zyminiomokesci1Paslaugaproduk9,SIS063_F_Zyminiomokesci1Paslaugaproduk9,SIS065_F_Zyminiomokesci1Paslaugaproduk9)</f>
        <v>5.7603540722276501</v>
      </c>
      <c r="AC138" s="85">
        <v>526.91856864086526</v>
      </c>
      <c r="AD138" s="86">
        <v>0</v>
      </c>
      <c r="AE138" s="86">
        <v>0</v>
      </c>
      <c r="AF138" s="86">
        <v>0</v>
      </c>
      <c r="AG138" s="87">
        <v>0</v>
      </c>
      <c r="AH138" s="87">
        <v>161.36615875292594</v>
      </c>
      <c r="AI138" s="87">
        <v>0</v>
      </c>
      <c r="AJ138" s="87">
        <v>0</v>
      </c>
      <c r="AK138" s="87">
        <v>24.882090074617217</v>
      </c>
      <c r="AL138" s="87">
        <v>20.678916555946419</v>
      </c>
      <c r="AM138" s="87">
        <v>0</v>
      </c>
      <c r="AN138" s="87">
        <v>16.968727488225692</v>
      </c>
      <c r="AO138" s="87">
        <v>0</v>
      </c>
      <c r="AP138" s="87">
        <v>0</v>
      </c>
      <c r="AQ138" s="87">
        <v>61.425184415191843</v>
      </c>
      <c r="AR138" s="87">
        <v>0</v>
      </c>
      <c r="AS138" s="87">
        <v>0</v>
      </c>
      <c r="AT138" s="87">
        <v>0</v>
      </c>
      <c r="AU138" s="88">
        <v>0</v>
      </c>
      <c r="AV138" s="85">
        <v>0</v>
      </c>
      <c r="AW138" s="86">
        <v>0</v>
      </c>
      <c r="AX138" s="86">
        <v>0</v>
      </c>
      <c r="AY138" s="86">
        <v>0</v>
      </c>
      <c r="AZ138" s="87"/>
      <c r="BA138" s="87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N138" s="88"/>
      <c r="BO138" s="85"/>
      <c r="BP138" s="86"/>
      <c r="BQ138" s="86"/>
      <c r="BR138" s="86"/>
      <c r="BS138" s="87"/>
      <c r="BT138" s="87"/>
      <c r="BU138" s="87"/>
      <c r="BV138" s="87"/>
      <c r="BW138" s="87"/>
      <c r="BX138" s="87"/>
      <c r="BY138" s="87"/>
      <c r="BZ138" s="87"/>
      <c r="CA138" s="87"/>
      <c r="CB138" s="87"/>
      <c r="CC138" s="87"/>
      <c r="CD138" s="87"/>
      <c r="CE138" s="87"/>
      <c r="CF138" s="87"/>
      <c r="CG138" s="88"/>
      <c r="CH138" s="85"/>
      <c r="CI138" s="86"/>
      <c r="CJ138" s="86"/>
      <c r="CK138" s="86"/>
      <c r="CL138" s="87"/>
      <c r="CM138" s="87"/>
      <c r="CN138" s="87"/>
      <c r="CO138" s="87"/>
      <c r="CP138" s="87"/>
      <c r="CQ138" s="87"/>
      <c r="CR138" s="87"/>
      <c r="CS138" s="87"/>
      <c r="CT138" s="87"/>
      <c r="CU138" s="87"/>
      <c r="CV138" s="87"/>
      <c r="CW138" s="87"/>
      <c r="CX138" s="87"/>
      <c r="CY138" s="87"/>
      <c r="CZ138" s="88"/>
      <c r="DA138" s="85"/>
      <c r="DB138" s="86"/>
      <c r="DC138" s="86"/>
      <c r="DD138" s="86"/>
      <c r="DE138" s="87"/>
      <c r="DF138" s="87"/>
      <c r="DG138" s="87"/>
      <c r="DH138" s="87"/>
      <c r="DI138" s="87"/>
      <c r="DJ138" s="87"/>
      <c r="DK138" s="87"/>
      <c r="DL138" s="87"/>
      <c r="DM138" s="87"/>
      <c r="DN138" s="87"/>
      <c r="DO138" s="87"/>
      <c r="DP138" s="87"/>
      <c r="DQ138" s="87"/>
      <c r="DR138" s="87"/>
      <c r="DS138" s="88"/>
      <c r="DT138" s="85"/>
      <c r="DU138" s="86"/>
      <c r="DV138" s="86"/>
      <c r="DW138" s="86"/>
      <c r="DX138" s="87"/>
      <c r="DY138" s="87"/>
      <c r="DZ138" s="87"/>
      <c r="EA138" s="87"/>
      <c r="EB138" s="87"/>
      <c r="EC138" s="87"/>
      <c r="ED138" s="87"/>
      <c r="EE138" s="87"/>
      <c r="EF138" s="87"/>
      <c r="EG138" s="87"/>
      <c r="EH138" s="87"/>
      <c r="EI138" s="87"/>
      <c r="EJ138" s="87"/>
      <c r="EK138" s="87"/>
      <c r="EL138" s="88"/>
      <c r="EM138" s="85"/>
      <c r="EN138" s="86"/>
      <c r="EO138" s="86"/>
      <c r="EP138" s="86"/>
      <c r="EQ138" s="87"/>
      <c r="ER138" s="87"/>
      <c r="ES138" s="87"/>
      <c r="ET138" s="87"/>
      <c r="EU138" s="87"/>
      <c r="EV138" s="87"/>
      <c r="EW138" s="87"/>
      <c r="EX138" s="87"/>
      <c r="EY138" s="87"/>
      <c r="EZ138" s="87"/>
      <c r="FA138" s="87"/>
      <c r="FB138" s="87"/>
      <c r="FC138" s="87"/>
      <c r="FD138" s="87"/>
      <c r="FE138" s="89"/>
    </row>
    <row r="139" spans="2:161" s="6" customFormat="1" ht="13.2">
      <c r="B139" s="108" t="s">
        <v>252</v>
      </c>
      <c r="C139" s="110" t="s">
        <v>253</v>
      </c>
      <c r="D139" s="81">
        <f t="shared" si="60"/>
        <v>16586.189999999999</v>
      </c>
      <c r="E139" s="82">
        <f t="shared" si="61"/>
        <v>0</v>
      </c>
      <c r="F139" s="83">
        <f t="shared" si="61"/>
        <v>0</v>
      </c>
      <c r="G139" s="83">
        <f t="shared" si="61"/>
        <v>0</v>
      </c>
      <c r="H139" s="83">
        <f t="shared" si="61"/>
        <v>0</v>
      </c>
      <c r="I139" s="84">
        <f t="shared" si="61"/>
        <v>0</v>
      </c>
      <c r="J139" s="84">
        <f t="shared" si="61"/>
        <v>16586.189999999999</v>
      </c>
      <c r="K139" s="84">
        <f t="shared" si="61"/>
        <v>0</v>
      </c>
      <c r="L139" s="84">
        <f t="shared" si="61"/>
        <v>0</v>
      </c>
      <c r="M139" s="84">
        <f t="shared" si="61"/>
        <v>0</v>
      </c>
      <c r="N139" s="84">
        <f t="shared" si="61"/>
        <v>0</v>
      </c>
      <c r="O139" s="84">
        <f t="shared" si="62"/>
        <v>0</v>
      </c>
      <c r="P139" s="84">
        <f t="shared" si="62"/>
        <v>0</v>
      </c>
      <c r="Q139" s="84">
        <f t="shared" si="62"/>
        <v>0</v>
      </c>
      <c r="R139" s="84">
        <f t="shared" si="62"/>
        <v>0</v>
      </c>
      <c r="S139" s="84">
        <f t="shared" si="62"/>
        <v>0</v>
      </c>
      <c r="T139" s="84">
        <f t="shared" si="62"/>
        <v>0</v>
      </c>
      <c r="U139" s="84">
        <f t="shared" si="62"/>
        <v>0</v>
      </c>
      <c r="V139" s="84">
        <f t="shared" si="62"/>
        <v>0</v>
      </c>
      <c r="W139" s="84">
        <f>SIS064_F_Energetikosist1Elektrosenergi5</f>
        <v>0</v>
      </c>
      <c r="X139" s="84">
        <f>SUM(SIS062_F_Energetikosist1Geriamojovande1,SIS063_F_Energetikosist1Geriamojovande1,SIS065_F_Energetikosist1Geriamojovande1)</f>
        <v>0</v>
      </c>
      <c r="Y139" s="84">
        <f>SUM(SIS062_F_Energetikosist1Paslaugaproduk8,SIS063_F_Energetikosist1Paslaugaproduk8,SIS065_F_Energetikosist1Paslaugaproduk8)</f>
        <v>0</v>
      </c>
      <c r="Z139" s="84">
        <f>SIS064_F_Energetikosist1Elektrosenergi6</f>
        <v>0</v>
      </c>
      <c r="AA139" s="84">
        <f>SUM(SIS062_F_Energetikosist1Konkurencinesi1,SIS063_F_Energetikosist1Konkurencinesi1,SIS065_F_Energetikosist1Konkurencinesi1,)</f>
        <v>0</v>
      </c>
      <c r="AB139" s="84">
        <f>SUM(SIS062_F_Energetikosist1Paslaugaproduk9,SIS063_F_Energetikosist1Paslaugaproduk9,SIS065_F_Energetikosist1Paslaugaproduk9)</f>
        <v>0</v>
      </c>
      <c r="AC139" s="85">
        <v>0</v>
      </c>
      <c r="AD139" s="86">
        <v>0</v>
      </c>
      <c r="AE139" s="86">
        <v>0</v>
      </c>
      <c r="AF139" s="86">
        <v>0</v>
      </c>
      <c r="AG139" s="87">
        <v>0</v>
      </c>
      <c r="AH139" s="87">
        <v>16586.189999999999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8">
        <v>0</v>
      </c>
      <c r="AV139" s="85">
        <v>0</v>
      </c>
      <c r="AW139" s="86">
        <v>0</v>
      </c>
      <c r="AX139" s="86">
        <v>0</v>
      </c>
      <c r="AY139" s="86">
        <v>0</v>
      </c>
      <c r="AZ139" s="87"/>
      <c r="BA139" s="87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8"/>
      <c r="BO139" s="85"/>
      <c r="BP139" s="86"/>
      <c r="BQ139" s="86"/>
      <c r="BR139" s="86"/>
      <c r="BS139" s="87"/>
      <c r="BT139" s="87"/>
      <c r="BU139" s="87"/>
      <c r="BV139" s="87"/>
      <c r="BW139" s="87"/>
      <c r="BX139" s="87"/>
      <c r="BY139" s="87"/>
      <c r="BZ139" s="87"/>
      <c r="CA139" s="87"/>
      <c r="CB139" s="87"/>
      <c r="CC139" s="87"/>
      <c r="CD139" s="87"/>
      <c r="CE139" s="87"/>
      <c r="CF139" s="87"/>
      <c r="CG139" s="88"/>
      <c r="CH139" s="85"/>
      <c r="CI139" s="86"/>
      <c r="CJ139" s="86"/>
      <c r="CK139" s="86"/>
      <c r="CL139" s="87"/>
      <c r="CM139" s="87"/>
      <c r="CN139" s="87"/>
      <c r="CO139" s="87"/>
      <c r="CP139" s="87"/>
      <c r="CQ139" s="87"/>
      <c r="CR139" s="87"/>
      <c r="CS139" s="87"/>
      <c r="CT139" s="87"/>
      <c r="CU139" s="87"/>
      <c r="CV139" s="87"/>
      <c r="CW139" s="87"/>
      <c r="CX139" s="87"/>
      <c r="CY139" s="87"/>
      <c r="CZ139" s="88"/>
      <c r="DA139" s="85"/>
      <c r="DB139" s="86"/>
      <c r="DC139" s="86"/>
      <c r="DD139" s="86"/>
      <c r="DE139" s="87"/>
      <c r="DF139" s="87"/>
      <c r="DG139" s="87"/>
      <c r="DH139" s="87"/>
      <c r="DI139" s="87"/>
      <c r="DJ139" s="87"/>
      <c r="DK139" s="87"/>
      <c r="DL139" s="87"/>
      <c r="DM139" s="87"/>
      <c r="DN139" s="87"/>
      <c r="DO139" s="87"/>
      <c r="DP139" s="87"/>
      <c r="DQ139" s="87"/>
      <c r="DR139" s="87"/>
      <c r="DS139" s="88"/>
      <c r="DT139" s="85"/>
      <c r="DU139" s="86"/>
      <c r="DV139" s="86"/>
      <c r="DW139" s="86"/>
      <c r="DX139" s="87"/>
      <c r="DY139" s="87"/>
      <c r="DZ139" s="87"/>
      <c r="EA139" s="87"/>
      <c r="EB139" s="87"/>
      <c r="EC139" s="87"/>
      <c r="ED139" s="87"/>
      <c r="EE139" s="87"/>
      <c r="EF139" s="87"/>
      <c r="EG139" s="87"/>
      <c r="EH139" s="87"/>
      <c r="EI139" s="87"/>
      <c r="EJ139" s="87"/>
      <c r="EK139" s="87"/>
      <c r="EL139" s="88"/>
      <c r="EM139" s="85"/>
      <c r="EN139" s="86"/>
      <c r="EO139" s="86"/>
      <c r="EP139" s="86"/>
      <c r="EQ139" s="87"/>
      <c r="ER139" s="87"/>
      <c r="ES139" s="87"/>
      <c r="ET139" s="87"/>
      <c r="EU139" s="87"/>
      <c r="EV139" s="87"/>
      <c r="EW139" s="87"/>
      <c r="EX139" s="87"/>
      <c r="EY139" s="87"/>
      <c r="EZ139" s="87"/>
      <c r="FA139" s="87"/>
      <c r="FB139" s="87"/>
      <c r="FC139" s="87"/>
      <c r="FD139" s="87"/>
      <c r="FE139" s="89"/>
    </row>
    <row r="140" spans="2:161" s="6" customFormat="1" ht="26.4">
      <c r="B140" s="108" t="s">
        <v>254</v>
      </c>
      <c r="C140" s="110" t="str">
        <f>SIS055_D_Kitumokesciuva1</f>
        <v>Kitų mokesčių valstybei sąnaudos (atestatų pratęsimo sąnaudos - 328 eur, neatskaitomo PVM sąnaudos - 305 eur)</v>
      </c>
      <c r="D140" s="81">
        <f t="shared" si="60"/>
        <v>328</v>
      </c>
      <c r="E140" s="82">
        <f t="shared" si="61"/>
        <v>211.28275123985793</v>
      </c>
      <c r="F140" s="83">
        <f t="shared" si="61"/>
        <v>0</v>
      </c>
      <c r="G140" s="83">
        <f t="shared" si="61"/>
        <v>0</v>
      </c>
      <c r="H140" s="83">
        <f t="shared" si="61"/>
        <v>0</v>
      </c>
      <c r="I140" s="84">
        <f t="shared" si="61"/>
        <v>0</v>
      </c>
      <c r="J140" s="84">
        <f t="shared" si="61"/>
        <v>64.704278815354158</v>
      </c>
      <c r="K140" s="84">
        <f t="shared" si="61"/>
        <v>0</v>
      </c>
      <c r="L140" s="84">
        <f t="shared" si="61"/>
        <v>0</v>
      </c>
      <c r="M140" s="84">
        <f t="shared" si="61"/>
        <v>9.9771705922670506</v>
      </c>
      <c r="N140" s="84">
        <f t="shared" si="61"/>
        <v>8.2917905016508868</v>
      </c>
      <c r="O140" s="84">
        <f t="shared" si="62"/>
        <v>0</v>
      </c>
      <c r="P140" s="84">
        <f t="shared" si="62"/>
        <v>6.8040863277970995</v>
      </c>
      <c r="Q140" s="84">
        <f t="shared" si="62"/>
        <v>0</v>
      </c>
      <c r="R140" s="84">
        <f t="shared" si="62"/>
        <v>0</v>
      </c>
      <c r="S140" s="84">
        <f t="shared" si="62"/>
        <v>24.630147296067143</v>
      </c>
      <c r="T140" s="84">
        <f t="shared" si="62"/>
        <v>0</v>
      </c>
      <c r="U140" s="84">
        <f t="shared" si="62"/>
        <v>0</v>
      </c>
      <c r="V140" s="84">
        <f t="shared" si="62"/>
        <v>0</v>
      </c>
      <c r="W140" s="84">
        <f>SIS064_F_Kitumokesciuva1Elektrosenergi5</f>
        <v>0</v>
      </c>
      <c r="X140" s="84">
        <f>SUM(SIS062_F_Kitumokesciuva1Geriamojovande1,SIS063_F_Kitumokesciuva1Geriamojovande1,SIS065_F_Kitumokesciuva1Geriamojovande1)</f>
        <v>0</v>
      </c>
      <c r="Y140" s="84">
        <f>SUM(SIS062_F_Kitumokesciuva1Paslaugaproduk8,SIS063_F_Kitumokesciuva1Paslaugaproduk8,SIS065_F_Kitumokesciuva1Paslaugaproduk8)</f>
        <v>0</v>
      </c>
      <c r="Z140" s="84">
        <f>SIS064_F_Kitumokesciuva1Elektrosenergi6</f>
        <v>0</v>
      </c>
      <c r="AA140" s="84">
        <f>SUM(SIS062_F_Kitumokesciuva1Konkurencinesi1,SIS063_F_Kitumokesciuva1Konkurencinesi1,SIS065_F_Kitumokesciuva1Konkurencinesi1,)</f>
        <v>0</v>
      </c>
      <c r="AB140" s="84">
        <f>SUM(SIS062_F_Kitumokesciuva1Paslaugaproduk9,SIS063_F_Kitumokesciuva1Paslaugaproduk9,SIS065_F_Kitumokesciuva1Paslaugaproduk9)</f>
        <v>2.3097752270057081</v>
      </c>
      <c r="AC140" s="85">
        <v>211.28275123985793</v>
      </c>
      <c r="AD140" s="86">
        <v>0</v>
      </c>
      <c r="AE140" s="86">
        <v>0</v>
      </c>
      <c r="AF140" s="86">
        <v>0</v>
      </c>
      <c r="AG140" s="87">
        <v>0</v>
      </c>
      <c r="AH140" s="87">
        <v>64.704278815354158</v>
      </c>
      <c r="AI140" s="87">
        <v>0</v>
      </c>
      <c r="AJ140" s="87">
        <v>0</v>
      </c>
      <c r="AK140" s="87">
        <v>9.9771705922670506</v>
      </c>
      <c r="AL140" s="87">
        <v>8.2917905016508868</v>
      </c>
      <c r="AM140" s="87">
        <v>0</v>
      </c>
      <c r="AN140" s="87">
        <v>6.8040863277970995</v>
      </c>
      <c r="AO140" s="87">
        <v>0</v>
      </c>
      <c r="AP140" s="87">
        <v>0</v>
      </c>
      <c r="AQ140" s="87">
        <v>24.630147296067143</v>
      </c>
      <c r="AR140" s="87">
        <v>0</v>
      </c>
      <c r="AS140" s="87">
        <v>0</v>
      </c>
      <c r="AT140" s="87">
        <v>0</v>
      </c>
      <c r="AU140" s="88">
        <v>0</v>
      </c>
      <c r="AV140" s="85">
        <v>0</v>
      </c>
      <c r="AW140" s="86">
        <v>0</v>
      </c>
      <c r="AX140" s="86">
        <v>0</v>
      </c>
      <c r="AY140" s="86">
        <v>0</v>
      </c>
      <c r="AZ140" s="87"/>
      <c r="BA140" s="87"/>
      <c r="BB140" s="87"/>
      <c r="BC140" s="87"/>
      <c r="BD140" s="87"/>
      <c r="BE140" s="87"/>
      <c r="BF140" s="87"/>
      <c r="BG140" s="87"/>
      <c r="BH140" s="87"/>
      <c r="BI140" s="87"/>
      <c r="BJ140" s="87"/>
      <c r="BK140" s="87"/>
      <c r="BL140" s="87"/>
      <c r="BM140" s="87"/>
      <c r="BN140" s="88"/>
      <c r="BO140" s="85"/>
      <c r="BP140" s="86"/>
      <c r="BQ140" s="86"/>
      <c r="BR140" s="86"/>
      <c r="BS140" s="87"/>
      <c r="BT140" s="87"/>
      <c r="BU140" s="87"/>
      <c r="BV140" s="87"/>
      <c r="BW140" s="87"/>
      <c r="BX140" s="87"/>
      <c r="BY140" s="87"/>
      <c r="BZ140" s="87"/>
      <c r="CA140" s="87"/>
      <c r="CB140" s="87"/>
      <c r="CC140" s="87"/>
      <c r="CD140" s="87"/>
      <c r="CE140" s="87"/>
      <c r="CF140" s="87"/>
      <c r="CG140" s="88"/>
      <c r="CH140" s="85"/>
      <c r="CI140" s="86"/>
      <c r="CJ140" s="86"/>
      <c r="CK140" s="86"/>
      <c r="CL140" s="87"/>
      <c r="CM140" s="87"/>
      <c r="CN140" s="87"/>
      <c r="CO140" s="87"/>
      <c r="CP140" s="87"/>
      <c r="CQ140" s="87"/>
      <c r="CR140" s="87"/>
      <c r="CS140" s="87"/>
      <c r="CT140" s="87"/>
      <c r="CU140" s="87"/>
      <c r="CV140" s="87"/>
      <c r="CW140" s="87"/>
      <c r="CX140" s="87"/>
      <c r="CY140" s="87"/>
      <c r="CZ140" s="88"/>
      <c r="DA140" s="85"/>
      <c r="DB140" s="86"/>
      <c r="DC140" s="86"/>
      <c r="DD140" s="86"/>
      <c r="DE140" s="87"/>
      <c r="DF140" s="87"/>
      <c r="DG140" s="87"/>
      <c r="DH140" s="87"/>
      <c r="DI140" s="87"/>
      <c r="DJ140" s="87"/>
      <c r="DK140" s="87"/>
      <c r="DL140" s="87"/>
      <c r="DM140" s="87"/>
      <c r="DN140" s="87"/>
      <c r="DO140" s="87"/>
      <c r="DP140" s="87"/>
      <c r="DQ140" s="87"/>
      <c r="DR140" s="87"/>
      <c r="DS140" s="88"/>
      <c r="DT140" s="85"/>
      <c r="DU140" s="86"/>
      <c r="DV140" s="86"/>
      <c r="DW140" s="86"/>
      <c r="DX140" s="87"/>
      <c r="DY140" s="87"/>
      <c r="DZ140" s="87"/>
      <c r="EA140" s="87"/>
      <c r="EB140" s="87"/>
      <c r="EC140" s="87"/>
      <c r="ED140" s="87"/>
      <c r="EE140" s="87"/>
      <c r="EF140" s="87"/>
      <c r="EG140" s="87"/>
      <c r="EH140" s="87"/>
      <c r="EI140" s="87"/>
      <c r="EJ140" s="87"/>
      <c r="EK140" s="87"/>
      <c r="EL140" s="88"/>
      <c r="EM140" s="85"/>
      <c r="EN140" s="86"/>
      <c r="EO140" s="86"/>
      <c r="EP140" s="86"/>
      <c r="EQ140" s="87"/>
      <c r="ER140" s="87"/>
      <c r="ES140" s="87"/>
      <c r="ET140" s="87"/>
      <c r="EU140" s="87"/>
      <c r="EV140" s="87"/>
      <c r="EW140" s="87"/>
      <c r="EX140" s="87"/>
      <c r="EY140" s="87"/>
      <c r="EZ140" s="87"/>
      <c r="FA140" s="87"/>
      <c r="FB140" s="87"/>
      <c r="FC140" s="87"/>
      <c r="FD140" s="87"/>
      <c r="FE140" s="89"/>
    </row>
    <row r="141" spans="2:161" s="6" customFormat="1" ht="13.2">
      <c r="B141" s="93" t="s">
        <v>255</v>
      </c>
      <c r="C141" s="111" t="s">
        <v>256</v>
      </c>
      <c r="D141" s="106">
        <f t="shared" ref="D141:BO141" si="63">SUM(D142:D146)</f>
        <v>795.1400000000001</v>
      </c>
      <c r="E141" s="95">
        <f t="shared" si="63"/>
        <v>512.19319152701416</v>
      </c>
      <c r="F141" s="96">
        <f t="shared" si="63"/>
        <v>0</v>
      </c>
      <c r="G141" s="96">
        <f t="shared" si="63"/>
        <v>0</v>
      </c>
      <c r="H141" s="96">
        <f t="shared" si="63"/>
        <v>0</v>
      </c>
      <c r="I141" s="97">
        <f t="shared" si="63"/>
        <v>0</v>
      </c>
      <c r="J141" s="97">
        <f t="shared" si="63"/>
        <v>156.85658615012412</v>
      </c>
      <c r="K141" s="97">
        <f t="shared" si="63"/>
        <v>0</v>
      </c>
      <c r="L141" s="97">
        <f t="shared" si="63"/>
        <v>0</v>
      </c>
      <c r="M141" s="97">
        <f t="shared" si="63"/>
        <v>24.186729953461043</v>
      </c>
      <c r="N141" s="97">
        <f t="shared" si="63"/>
        <v>20.101019205739895</v>
      </c>
      <c r="O141" s="97">
        <f t="shared" si="63"/>
        <v>0</v>
      </c>
      <c r="P141" s="97">
        <f t="shared" si="63"/>
        <v>16.494515861843247</v>
      </c>
      <c r="Q141" s="97">
        <f t="shared" si="63"/>
        <v>0</v>
      </c>
      <c r="R141" s="97">
        <f t="shared" si="63"/>
        <v>0</v>
      </c>
      <c r="S141" s="97">
        <f t="shared" si="63"/>
        <v>59.70858329571594</v>
      </c>
      <c r="T141" s="97">
        <f t="shared" si="63"/>
        <v>0</v>
      </c>
      <c r="U141" s="97">
        <f t="shared" si="63"/>
        <v>0</v>
      </c>
      <c r="V141" s="97">
        <f t="shared" si="63"/>
        <v>0</v>
      </c>
      <c r="W141" s="97">
        <f t="shared" si="63"/>
        <v>0</v>
      </c>
      <c r="X141" s="97">
        <f t="shared" si="63"/>
        <v>0</v>
      </c>
      <c r="Y141" s="97">
        <f t="shared" si="63"/>
        <v>0</v>
      </c>
      <c r="Z141" s="97">
        <f t="shared" si="63"/>
        <v>0</v>
      </c>
      <c r="AA141" s="97">
        <f t="shared" si="63"/>
        <v>0</v>
      </c>
      <c r="AB141" s="97">
        <f t="shared" si="63"/>
        <v>5.5993740061015815</v>
      </c>
      <c r="AC141" s="98">
        <f t="shared" si="63"/>
        <v>512.19319152701416</v>
      </c>
      <c r="AD141" s="99">
        <f t="shared" si="63"/>
        <v>0</v>
      </c>
      <c r="AE141" s="99">
        <f t="shared" si="63"/>
        <v>0</v>
      </c>
      <c r="AF141" s="99">
        <f t="shared" si="63"/>
        <v>0</v>
      </c>
      <c r="AG141" s="100">
        <f t="shared" si="63"/>
        <v>0</v>
      </c>
      <c r="AH141" s="100">
        <f t="shared" si="63"/>
        <v>156.85658615012412</v>
      </c>
      <c r="AI141" s="100">
        <f t="shared" si="63"/>
        <v>0</v>
      </c>
      <c r="AJ141" s="100">
        <f t="shared" si="63"/>
        <v>0</v>
      </c>
      <c r="AK141" s="100">
        <f t="shared" si="63"/>
        <v>24.186729953461043</v>
      </c>
      <c r="AL141" s="100">
        <f t="shared" si="63"/>
        <v>20.101019205739895</v>
      </c>
      <c r="AM141" s="100">
        <f t="shared" si="63"/>
        <v>0</v>
      </c>
      <c r="AN141" s="100">
        <f t="shared" si="63"/>
        <v>16.494515861843247</v>
      </c>
      <c r="AO141" s="100">
        <f t="shared" si="63"/>
        <v>0</v>
      </c>
      <c r="AP141" s="100">
        <f t="shared" si="63"/>
        <v>0</v>
      </c>
      <c r="AQ141" s="100">
        <f t="shared" si="63"/>
        <v>59.70858329571594</v>
      </c>
      <c r="AR141" s="100">
        <f t="shared" si="63"/>
        <v>0</v>
      </c>
      <c r="AS141" s="100">
        <f t="shared" si="63"/>
        <v>0</v>
      </c>
      <c r="AT141" s="100">
        <f t="shared" si="63"/>
        <v>0</v>
      </c>
      <c r="AU141" s="97">
        <f t="shared" si="63"/>
        <v>0</v>
      </c>
      <c r="AV141" s="98">
        <f t="shared" si="63"/>
        <v>0</v>
      </c>
      <c r="AW141" s="99">
        <f t="shared" si="63"/>
        <v>0</v>
      </c>
      <c r="AX141" s="99">
        <f t="shared" si="63"/>
        <v>0</v>
      </c>
      <c r="AY141" s="99">
        <f t="shared" si="63"/>
        <v>0</v>
      </c>
      <c r="AZ141" s="100">
        <f t="shared" si="63"/>
        <v>0</v>
      </c>
      <c r="BA141" s="100">
        <f t="shared" si="63"/>
        <v>0</v>
      </c>
      <c r="BB141" s="100">
        <f t="shared" si="63"/>
        <v>0</v>
      </c>
      <c r="BC141" s="100">
        <f t="shared" si="63"/>
        <v>0</v>
      </c>
      <c r="BD141" s="100">
        <f t="shared" si="63"/>
        <v>0</v>
      </c>
      <c r="BE141" s="100">
        <f t="shared" si="63"/>
        <v>0</v>
      </c>
      <c r="BF141" s="100">
        <f t="shared" si="63"/>
        <v>0</v>
      </c>
      <c r="BG141" s="100">
        <f t="shared" si="63"/>
        <v>0</v>
      </c>
      <c r="BH141" s="100">
        <f t="shared" si="63"/>
        <v>0</v>
      </c>
      <c r="BI141" s="100">
        <f t="shared" si="63"/>
        <v>0</v>
      </c>
      <c r="BJ141" s="100">
        <f t="shared" si="63"/>
        <v>0</v>
      </c>
      <c r="BK141" s="100">
        <f t="shared" si="63"/>
        <v>0</v>
      </c>
      <c r="BL141" s="100">
        <f t="shared" si="63"/>
        <v>0</v>
      </c>
      <c r="BM141" s="100">
        <f t="shared" si="63"/>
        <v>0</v>
      </c>
      <c r="BN141" s="97">
        <f t="shared" si="63"/>
        <v>0</v>
      </c>
      <c r="BO141" s="98">
        <f t="shared" si="63"/>
        <v>0</v>
      </c>
      <c r="BP141" s="99">
        <f t="shared" ref="BP141:EA141" si="64">SUM(BP142:BP146)</f>
        <v>0</v>
      </c>
      <c r="BQ141" s="99">
        <f t="shared" si="64"/>
        <v>0</v>
      </c>
      <c r="BR141" s="99">
        <f t="shared" si="64"/>
        <v>0</v>
      </c>
      <c r="BS141" s="100">
        <f t="shared" si="64"/>
        <v>0</v>
      </c>
      <c r="BT141" s="100">
        <f t="shared" si="64"/>
        <v>0</v>
      </c>
      <c r="BU141" s="100">
        <f t="shared" si="64"/>
        <v>0</v>
      </c>
      <c r="BV141" s="100">
        <f t="shared" si="64"/>
        <v>0</v>
      </c>
      <c r="BW141" s="100">
        <f t="shared" si="64"/>
        <v>0</v>
      </c>
      <c r="BX141" s="100">
        <f t="shared" si="64"/>
        <v>0</v>
      </c>
      <c r="BY141" s="100">
        <f t="shared" si="64"/>
        <v>0</v>
      </c>
      <c r="BZ141" s="100">
        <f t="shared" si="64"/>
        <v>0</v>
      </c>
      <c r="CA141" s="100">
        <f t="shared" si="64"/>
        <v>0</v>
      </c>
      <c r="CB141" s="100">
        <f t="shared" si="64"/>
        <v>0</v>
      </c>
      <c r="CC141" s="100">
        <f t="shared" si="64"/>
        <v>0</v>
      </c>
      <c r="CD141" s="100">
        <f t="shared" si="64"/>
        <v>0</v>
      </c>
      <c r="CE141" s="100">
        <f t="shared" si="64"/>
        <v>0</v>
      </c>
      <c r="CF141" s="100">
        <f t="shared" si="64"/>
        <v>0</v>
      </c>
      <c r="CG141" s="97">
        <f t="shared" si="64"/>
        <v>0</v>
      </c>
      <c r="CH141" s="98">
        <f t="shared" si="64"/>
        <v>0</v>
      </c>
      <c r="CI141" s="99">
        <f t="shared" si="64"/>
        <v>0</v>
      </c>
      <c r="CJ141" s="99">
        <f t="shared" si="64"/>
        <v>0</v>
      </c>
      <c r="CK141" s="99">
        <f t="shared" si="64"/>
        <v>0</v>
      </c>
      <c r="CL141" s="100">
        <f t="shared" si="64"/>
        <v>0</v>
      </c>
      <c r="CM141" s="100">
        <f t="shared" si="64"/>
        <v>0</v>
      </c>
      <c r="CN141" s="100">
        <f t="shared" si="64"/>
        <v>0</v>
      </c>
      <c r="CO141" s="100">
        <f t="shared" si="64"/>
        <v>0</v>
      </c>
      <c r="CP141" s="100">
        <f t="shared" si="64"/>
        <v>0</v>
      </c>
      <c r="CQ141" s="100">
        <f t="shared" si="64"/>
        <v>0</v>
      </c>
      <c r="CR141" s="100">
        <f t="shared" si="64"/>
        <v>0</v>
      </c>
      <c r="CS141" s="100">
        <f t="shared" si="64"/>
        <v>0</v>
      </c>
      <c r="CT141" s="100">
        <f t="shared" si="64"/>
        <v>0</v>
      </c>
      <c r="CU141" s="100">
        <f t="shared" si="64"/>
        <v>0</v>
      </c>
      <c r="CV141" s="100">
        <f t="shared" si="64"/>
        <v>0</v>
      </c>
      <c r="CW141" s="100">
        <f t="shared" si="64"/>
        <v>0</v>
      </c>
      <c r="CX141" s="100">
        <f t="shared" si="64"/>
        <v>0</v>
      </c>
      <c r="CY141" s="100">
        <f t="shared" si="64"/>
        <v>0</v>
      </c>
      <c r="CZ141" s="97">
        <f t="shared" si="64"/>
        <v>0</v>
      </c>
      <c r="DA141" s="98">
        <f t="shared" si="64"/>
        <v>0</v>
      </c>
      <c r="DB141" s="99">
        <f t="shared" si="64"/>
        <v>0</v>
      </c>
      <c r="DC141" s="99">
        <f t="shared" si="64"/>
        <v>0</v>
      </c>
      <c r="DD141" s="99">
        <f t="shared" si="64"/>
        <v>0</v>
      </c>
      <c r="DE141" s="100">
        <f t="shared" si="64"/>
        <v>0</v>
      </c>
      <c r="DF141" s="100">
        <f t="shared" si="64"/>
        <v>0</v>
      </c>
      <c r="DG141" s="100">
        <f t="shared" si="64"/>
        <v>0</v>
      </c>
      <c r="DH141" s="100">
        <f t="shared" si="64"/>
        <v>0</v>
      </c>
      <c r="DI141" s="100">
        <f t="shared" si="64"/>
        <v>0</v>
      </c>
      <c r="DJ141" s="100">
        <f t="shared" si="64"/>
        <v>0</v>
      </c>
      <c r="DK141" s="100">
        <f t="shared" si="64"/>
        <v>0</v>
      </c>
      <c r="DL141" s="100">
        <f t="shared" si="64"/>
        <v>0</v>
      </c>
      <c r="DM141" s="100">
        <f t="shared" si="64"/>
        <v>0</v>
      </c>
      <c r="DN141" s="100">
        <f t="shared" si="64"/>
        <v>0</v>
      </c>
      <c r="DO141" s="100">
        <f t="shared" si="64"/>
        <v>0</v>
      </c>
      <c r="DP141" s="100">
        <f t="shared" si="64"/>
        <v>0</v>
      </c>
      <c r="DQ141" s="100">
        <f t="shared" si="64"/>
        <v>0</v>
      </c>
      <c r="DR141" s="100">
        <f t="shared" si="64"/>
        <v>0</v>
      </c>
      <c r="DS141" s="97">
        <f t="shared" si="64"/>
        <v>0</v>
      </c>
      <c r="DT141" s="98">
        <f t="shared" si="64"/>
        <v>0</v>
      </c>
      <c r="DU141" s="99">
        <f t="shared" si="64"/>
        <v>0</v>
      </c>
      <c r="DV141" s="99">
        <f t="shared" si="64"/>
        <v>0</v>
      </c>
      <c r="DW141" s="99">
        <f t="shared" si="64"/>
        <v>0</v>
      </c>
      <c r="DX141" s="100">
        <f t="shared" si="64"/>
        <v>0</v>
      </c>
      <c r="DY141" s="100">
        <f t="shared" si="64"/>
        <v>0</v>
      </c>
      <c r="DZ141" s="100">
        <f t="shared" si="64"/>
        <v>0</v>
      </c>
      <c r="EA141" s="100">
        <f t="shared" si="64"/>
        <v>0</v>
      </c>
      <c r="EB141" s="100">
        <f t="shared" ref="EB141:GP141" si="65">SUM(EB142:EB146)</f>
        <v>0</v>
      </c>
      <c r="EC141" s="100">
        <f t="shared" si="65"/>
        <v>0</v>
      </c>
      <c r="ED141" s="100">
        <f t="shared" si="65"/>
        <v>0</v>
      </c>
      <c r="EE141" s="100">
        <f t="shared" si="65"/>
        <v>0</v>
      </c>
      <c r="EF141" s="100">
        <f t="shared" si="65"/>
        <v>0</v>
      </c>
      <c r="EG141" s="100">
        <f t="shared" si="65"/>
        <v>0</v>
      </c>
      <c r="EH141" s="100">
        <f t="shared" si="65"/>
        <v>0</v>
      </c>
      <c r="EI141" s="100">
        <f t="shared" si="65"/>
        <v>0</v>
      </c>
      <c r="EJ141" s="100">
        <f t="shared" si="65"/>
        <v>0</v>
      </c>
      <c r="EK141" s="100">
        <f t="shared" si="65"/>
        <v>0</v>
      </c>
      <c r="EL141" s="97">
        <f t="shared" si="65"/>
        <v>0</v>
      </c>
      <c r="EM141" s="98">
        <f t="shared" si="65"/>
        <v>0</v>
      </c>
      <c r="EN141" s="99">
        <f t="shared" si="65"/>
        <v>0</v>
      </c>
      <c r="EO141" s="99">
        <f t="shared" si="65"/>
        <v>0</v>
      </c>
      <c r="EP141" s="99">
        <f t="shared" si="65"/>
        <v>0</v>
      </c>
      <c r="EQ141" s="100">
        <f t="shared" si="65"/>
        <v>0</v>
      </c>
      <c r="ER141" s="100">
        <f t="shared" si="65"/>
        <v>0</v>
      </c>
      <c r="ES141" s="100">
        <f t="shared" si="65"/>
        <v>0</v>
      </c>
      <c r="ET141" s="100">
        <f t="shared" si="65"/>
        <v>0</v>
      </c>
      <c r="EU141" s="100">
        <f t="shared" si="65"/>
        <v>0</v>
      </c>
      <c r="EV141" s="100">
        <f t="shared" si="65"/>
        <v>0</v>
      </c>
      <c r="EW141" s="100">
        <f t="shared" si="65"/>
        <v>0</v>
      </c>
      <c r="EX141" s="100">
        <f t="shared" si="65"/>
        <v>0</v>
      </c>
      <c r="EY141" s="100">
        <f t="shared" si="65"/>
        <v>0</v>
      </c>
      <c r="EZ141" s="100">
        <f t="shared" si="65"/>
        <v>0</v>
      </c>
      <c r="FA141" s="100">
        <f t="shared" si="65"/>
        <v>0</v>
      </c>
      <c r="FB141" s="100">
        <f t="shared" si="65"/>
        <v>0</v>
      </c>
      <c r="FC141" s="100">
        <f t="shared" si="65"/>
        <v>0</v>
      </c>
      <c r="FD141" s="100">
        <f t="shared" si="65"/>
        <v>0</v>
      </c>
      <c r="FE141" s="101">
        <f t="shared" si="65"/>
        <v>0</v>
      </c>
    </row>
    <row r="142" spans="2:161" s="6" customFormat="1" ht="13.2">
      <c r="B142" s="79" t="s">
        <v>257</v>
      </c>
      <c r="C142" s="103" t="s">
        <v>258</v>
      </c>
      <c r="D142" s="81">
        <f>SUM(E142:AB142)</f>
        <v>795.1400000000001</v>
      </c>
      <c r="E142" s="82">
        <f t="shared" ref="E142:T146" si="66">SUM(AC142,AV142,BO142,CH142,DA142,DT142,EM142)</f>
        <v>512.19319152701416</v>
      </c>
      <c r="F142" s="83">
        <f t="shared" si="66"/>
        <v>0</v>
      </c>
      <c r="G142" s="83">
        <f t="shared" si="66"/>
        <v>0</v>
      </c>
      <c r="H142" s="83">
        <f t="shared" si="66"/>
        <v>0</v>
      </c>
      <c r="I142" s="84">
        <f t="shared" si="66"/>
        <v>0</v>
      </c>
      <c r="J142" s="84">
        <f t="shared" si="66"/>
        <v>156.85658615012412</v>
      </c>
      <c r="K142" s="84">
        <f t="shared" si="66"/>
        <v>0</v>
      </c>
      <c r="L142" s="84">
        <f t="shared" si="66"/>
        <v>0</v>
      </c>
      <c r="M142" s="84">
        <f t="shared" si="66"/>
        <v>24.186729953461043</v>
      </c>
      <c r="N142" s="84">
        <f t="shared" si="66"/>
        <v>20.101019205739895</v>
      </c>
      <c r="O142" s="84">
        <f t="shared" si="66"/>
        <v>0</v>
      </c>
      <c r="P142" s="84">
        <f t="shared" si="66"/>
        <v>16.494515861843247</v>
      </c>
      <c r="Q142" s="84">
        <f t="shared" si="66"/>
        <v>0</v>
      </c>
      <c r="R142" s="84">
        <f t="shared" si="66"/>
        <v>0</v>
      </c>
      <c r="S142" s="84">
        <f t="shared" si="66"/>
        <v>59.70858329571594</v>
      </c>
      <c r="T142" s="84">
        <f t="shared" si="66"/>
        <v>0</v>
      </c>
      <c r="U142" s="84">
        <f t="shared" ref="O142:V146" si="67">SUM(AS142,BL142,CE142,CX142,DQ142,EJ142,FC142)</f>
        <v>0</v>
      </c>
      <c r="V142" s="84">
        <f t="shared" si="67"/>
        <v>0</v>
      </c>
      <c r="W142" s="84">
        <f>SIS064_F_Bankopaslauguk1Elektrosenergi5</f>
        <v>0</v>
      </c>
      <c r="X142" s="84">
        <f>SUM(SIS062_F_Bankopaslauguk1Geriamojovande1,SIS063_F_Bankopaslauguk1Geriamojovande1,SIS065_F_Bankopaslauguk1Geriamojovande1)</f>
        <v>0</v>
      </c>
      <c r="Y142" s="84">
        <f>SUM(SIS062_F_Bankopaslauguk1Paslaugaproduk8,SIS063_F_Bankopaslauguk1Paslaugaproduk8,SIS065_F_Bankopaslauguk1Paslaugaproduk8)</f>
        <v>0</v>
      </c>
      <c r="Z142" s="84">
        <f>SIS064_F_Bankopaslauguk1Elektrosenergi6</f>
        <v>0</v>
      </c>
      <c r="AA142" s="84">
        <f>SUM(SIS062_F_Bankopaslauguk1Konkurencinesi1,SIS063_F_Bankopaslauguk1Konkurencinesi1,SIS065_F_Bankopaslauguk1Konkurencinesi1,)</f>
        <v>0</v>
      </c>
      <c r="AB142" s="84">
        <f>SUM(SIS062_F_Bankopaslauguk1Paslaugaproduk9,SIS063_F_Bankopaslauguk1Paslaugaproduk9,SIS065_F_Bankopaslauguk1Paslaugaproduk9)</f>
        <v>5.5993740061015815</v>
      </c>
      <c r="AC142" s="85">
        <v>512.19319152701416</v>
      </c>
      <c r="AD142" s="86">
        <v>0</v>
      </c>
      <c r="AE142" s="86">
        <v>0</v>
      </c>
      <c r="AF142" s="86">
        <v>0</v>
      </c>
      <c r="AG142" s="87">
        <v>0</v>
      </c>
      <c r="AH142" s="87">
        <v>156.85658615012412</v>
      </c>
      <c r="AI142" s="87">
        <v>0</v>
      </c>
      <c r="AJ142" s="87">
        <v>0</v>
      </c>
      <c r="AK142" s="87">
        <v>24.186729953461043</v>
      </c>
      <c r="AL142" s="87">
        <v>20.101019205739895</v>
      </c>
      <c r="AM142" s="87">
        <v>0</v>
      </c>
      <c r="AN142" s="87">
        <v>16.494515861843247</v>
      </c>
      <c r="AO142" s="87">
        <v>0</v>
      </c>
      <c r="AP142" s="87">
        <v>0</v>
      </c>
      <c r="AQ142" s="87">
        <v>59.70858329571594</v>
      </c>
      <c r="AR142" s="87">
        <v>0</v>
      </c>
      <c r="AS142" s="87">
        <v>0</v>
      </c>
      <c r="AT142" s="87">
        <v>0</v>
      </c>
      <c r="AU142" s="88">
        <v>0</v>
      </c>
      <c r="AV142" s="85">
        <v>0</v>
      </c>
      <c r="AW142" s="86">
        <v>0</v>
      </c>
      <c r="AX142" s="86">
        <v>0</v>
      </c>
      <c r="AY142" s="86">
        <v>0</v>
      </c>
      <c r="AZ142" s="87"/>
      <c r="BA142" s="87"/>
      <c r="BB142" s="87"/>
      <c r="BC142" s="87"/>
      <c r="BD142" s="87"/>
      <c r="BE142" s="87"/>
      <c r="BF142" s="87"/>
      <c r="BG142" s="87"/>
      <c r="BH142" s="87"/>
      <c r="BI142" s="87"/>
      <c r="BJ142" s="87"/>
      <c r="BK142" s="87"/>
      <c r="BL142" s="87"/>
      <c r="BM142" s="87"/>
      <c r="BN142" s="88"/>
      <c r="BO142" s="85"/>
      <c r="BP142" s="86"/>
      <c r="BQ142" s="86"/>
      <c r="BR142" s="86"/>
      <c r="BS142" s="87"/>
      <c r="BT142" s="87"/>
      <c r="BU142" s="87"/>
      <c r="BV142" s="87"/>
      <c r="BW142" s="87"/>
      <c r="BX142" s="87"/>
      <c r="BY142" s="87"/>
      <c r="BZ142" s="87"/>
      <c r="CA142" s="87"/>
      <c r="CB142" s="87"/>
      <c r="CC142" s="87"/>
      <c r="CD142" s="87"/>
      <c r="CE142" s="87"/>
      <c r="CF142" s="87"/>
      <c r="CG142" s="88"/>
      <c r="CH142" s="85"/>
      <c r="CI142" s="86"/>
      <c r="CJ142" s="86"/>
      <c r="CK142" s="86"/>
      <c r="CL142" s="87"/>
      <c r="CM142" s="87"/>
      <c r="CN142" s="87"/>
      <c r="CO142" s="87"/>
      <c r="CP142" s="87"/>
      <c r="CQ142" s="87"/>
      <c r="CR142" s="87"/>
      <c r="CS142" s="87"/>
      <c r="CT142" s="87"/>
      <c r="CU142" s="87"/>
      <c r="CV142" s="87"/>
      <c r="CW142" s="87"/>
      <c r="CX142" s="87"/>
      <c r="CY142" s="87"/>
      <c r="CZ142" s="88"/>
      <c r="DA142" s="85"/>
      <c r="DB142" s="86"/>
      <c r="DC142" s="86"/>
      <c r="DD142" s="86"/>
      <c r="DE142" s="87"/>
      <c r="DF142" s="87"/>
      <c r="DG142" s="87"/>
      <c r="DH142" s="87"/>
      <c r="DI142" s="87"/>
      <c r="DJ142" s="87"/>
      <c r="DK142" s="87"/>
      <c r="DL142" s="87"/>
      <c r="DM142" s="87"/>
      <c r="DN142" s="87"/>
      <c r="DO142" s="87"/>
      <c r="DP142" s="87"/>
      <c r="DQ142" s="87"/>
      <c r="DR142" s="87"/>
      <c r="DS142" s="88"/>
      <c r="DT142" s="85"/>
      <c r="DU142" s="86"/>
      <c r="DV142" s="86"/>
      <c r="DW142" s="86"/>
      <c r="DX142" s="87"/>
      <c r="DY142" s="87"/>
      <c r="DZ142" s="87"/>
      <c r="EA142" s="87"/>
      <c r="EB142" s="87"/>
      <c r="EC142" s="87"/>
      <c r="ED142" s="87"/>
      <c r="EE142" s="87"/>
      <c r="EF142" s="87"/>
      <c r="EG142" s="87"/>
      <c r="EH142" s="87"/>
      <c r="EI142" s="87"/>
      <c r="EJ142" s="87"/>
      <c r="EK142" s="87"/>
      <c r="EL142" s="88"/>
      <c r="EM142" s="85"/>
      <c r="EN142" s="86"/>
      <c r="EO142" s="86"/>
      <c r="EP142" s="86"/>
      <c r="EQ142" s="87"/>
      <c r="ER142" s="87"/>
      <c r="ES142" s="87"/>
      <c r="ET142" s="87"/>
      <c r="EU142" s="87"/>
      <c r="EV142" s="87"/>
      <c r="EW142" s="87"/>
      <c r="EX142" s="87"/>
      <c r="EY142" s="87"/>
      <c r="EZ142" s="87"/>
      <c r="FA142" s="87"/>
      <c r="FB142" s="87"/>
      <c r="FC142" s="87"/>
      <c r="FD142" s="87"/>
      <c r="FE142" s="89"/>
    </row>
    <row r="143" spans="2:161" s="6" customFormat="1" ht="13.2" hidden="1">
      <c r="B143" s="79" t="s">
        <v>259</v>
      </c>
      <c r="C143" s="103" t="s">
        <v>260</v>
      </c>
      <c r="D143" s="81">
        <f>SUM(E143:AB143)</f>
        <v>0</v>
      </c>
      <c r="E143" s="82">
        <f t="shared" si="66"/>
        <v>0</v>
      </c>
      <c r="F143" s="83">
        <f t="shared" si="66"/>
        <v>0</v>
      </c>
      <c r="G143" s="83">
        <f t="shared" si="66"/>
        <v>0</v>
      </c>
      <c r="H143" s="83">
        <f t="shared" si="66"/>
        <v>0</v>
      </c>
      <c r="I143" s="84">
        <f t="shared" si="66"/>
        <v>0</v>
      </c>
      <c r="J143" s="84">
        <f t="shared" si="66"/>
        <v>0</v>
      </c>
      <c r="K143" s="84">
        <f t="shared" si="66"/>
        <v>0</v>
      </c>
      <c r="L143" s="84">
        <f t="shared" si="66"/>
        <v>0</v>
      </c>
      <c r="M143" s="84">
        <f t="shared" si="66"/>
        <v>0</v>
      </c>
      <c r="N143" s="84">
        <f t="shared" si="66"/>
        <v>0</v>
      </c>
      <c r="O143" s="84">
        <f t="shared" si="67"/>
        <v>0</v>
      </c>
      <c r="P143" s="84">
        <f t="shared" si="67"/>
        <v>0</v>
      </c>
      <c r="Q143" s="84">
        <f t="shared" si="67"/>
        <v>0</v>
      </c>
      <c r="R143" s="84">
        <f t="shared" si="67"/>
        <v>0</v>
      </c>
      <c r="S143" s="84">
        <f t="shared" si="67"/>
        <v>0</v>
      </c>
      <c r="T143" s="84">
        <f t="shared" si="67"/>
        <v>0</v>
      </c>
      <c r="U143" s="84">
        <f t="shared" si="67"/>
        <v>0</v>
      </c>
      <c r="V143" s="84">
        <f t="shared" si="67"/>
        <v>0</v>
      </c>
      <c r="W143" s="84">
        <f>SIS064_F_Palukanusanaud1Elektrosenergi5</f>
        <v>0</v>
      </c>
      <c r="X143" s="84">
        <f>SUM(SIS062_F_Palukanusanaud1Geriamojovande1,SIS063_F_Palukanusanaud1Geriamojovande1,SIS065_F_Palukanusanaud1Geriamojovande1)</f>
        <v>0</v>
      </c>
      <c r="Y143" s="84">
        <f>SUM(SIS062_F_Palukanusanaud1Paslaugaproduk8,SIS063_F_Palukanusanaud1Paslaugaproduk8,SIS065_F_Palukanusanaud1Paslaugaproduk8)</f>
        <v>0</v>
      </c>
      <c r="Z143" s="84">
        <f>SIS064_F_Palukanusanaud1Elektrosenergi6</f>
        <v>0</v>
      </c>
      <c r="AA143" s="84">
        <f>SUM(SIS062_F_Palukanusanaud1Konkurencinesi1,SIS063_F_Palukanusanaud1Konkurencinesi1,SIS065_F_Palukanusanaud1Konkurencinesi1,)</f>
        <v>0</v>
      </c>
      <c r="AB143" s="84">
        <f>SUM(SIS062_F_Palukanusanaud1Paslaugaproduk9,SIS063_F_Palukanusanaud1Paslaugaproduk9,SIS065_F_Palukanusanaud1Paslaugaproduk9)</f>
        <v>0</v>
      </c>
      <c r="AC143" s="85">
        <v>0</v>
      </c>
      <c r="AD143" s="86">
        <v>0</v>
      </c>
      <c r="AE143" s="86">
        <v>0</v>
      </c>
      <c r="AF143" s="86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8">
        <v>0</v>
      </c>
      <c r="AV143" s="85">
        <v>0</v>
      </c>
      <c r="AW143" s="86">
        <v>0</v>
      </c>
      <c r="AX143" s="86">
        <v>0</v>
      </c>
      <c r="AY143" s="86">
        <v>0</v>
      </c>
      <c r="AZ143" s="87"/>
      <c r="BA143" s="87"/>
      <c r="BB143" s="87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8"/>
      <c r="BO143" s="85"/>
      <c r="BP143" s="86"/>
      <c r="BQ143" s="86"/>
      <c r="BR143" s="86"/>
      <c r="BS143" s="87"/>
      <c r="BT143" s="87"/>
      <c r="BU143" s="87"/>
      <c r="BV143" s="87"/>
      <c r="BW143" s="87"/>
      <c r="BX143" s="87"/>
      <c r="BY143" s="87"/>
      <c r="BZ143" s="87"/>
      <c r="CA143" s="87"/>
      <c r="CB143" s="87"/>
      <c r="CC143" s="87"/>
      <c r="CD143" s="87"/>
      <c r="CE143" s="87"/>
      <c r="CF143" s="87"/>
      <c r="CG143" s="88"/>
      <c r="CH143" s="85"/>
      <c r="CI143" s="86"/>
      <c r="CJ143" s="86"/>
      <c r="CK143" s="86"/>
      <c r="CL143" s="87"/>
      <c r="CM143" s="87"/>
      <c r="CN143" s="87"/>
      <c r="CO143" s="87"/>
      <c r="CP143" s="87"/>
      <c r="CQ143" s="87"/>
      <c r="CR143" s="87"/>
      <c r="CS143" s="87"/>
      <c r="CT143" s="87"/>
      <c r="CU143" s="87"/>
      <c r="CV143" s="87"/>
      <c r="CW143" s="87"/>
      <c r="CX143" s="87"/>
      <c r="CY143" s="87"/>
      <c r="CZ143" s="88"/>
      <c r="DA143" s="85"/>
      <c r="DB143" s="86"/>
      <c r="DC143" s="86"/>
      <c r="DD143" s="86"/>
      <c r="DE143" s="87"/>
      <c r="DF143" s="87"/>
      <c r="DG143" s="87"/>
      <c r="DH143" s="87"/>
      <c r="DI143" s="87"/>
      <c r="DJ143" s="87"/>
      <c r="DK143" s="87"/>
      <c r="DL143" s="87"/>
      <c r="DM143" s="87"/>
      <c r="DN143" s="87"/>
      <c r="DO143" s="87"/>
      <c r="DP143" s="87"/>
      <c r="DQ143" s="87"/>
      <c r="DR143" s="87"/>
      <c r="DS143" s="88"/>
      <c r="DT143" s="85"/>
      <c r="DU143" s="86"/>
      <c r="DV143" s="86"/>
      <c r="DW143" s="86"/>
      <c r="DX143" s="87"/>
      <c r="DY143" s="87"/>
      <c r="DZ143" s="87"/>
      <c r="EA143" s="87"/>
      <c r="EB143" s="87"/>
      <c r="EC143" s="87"/>
      <c r="ED143" s="87"/>
      <c r="EE143" s="87"/>
      <c r="EF143" s="87"/>
      <c r="EG143" s="87"/>
      <c r="EH143" s="87"/>
      <c r="EI143" s="87"/>
      <c r="EJ143" s="87"/>
      <c r="EK143" s="87"/>
      <c r="EL143" s="88"/>
      <c r="EM143" s="85"/>
      <c r="EN143" s="86"/>
      <c r="EO143" s="86"/>
      <c r="EP143" s="86"/>
      <c r="EQ143" s="87"/>
      <c r="ER143" s="87"/>
      <c r="ES143" s="87"/>
      <c r="ET143" s="87"/>
      <c r="EU143" s="87"/>
      <c r="EV143" s="87"/>
      <c r="EW143" s="87"/>
      <c r="EX143" s="87"/>
      <c r="EY143" s="87"/>
      <c r="EZ143" s="87"/>
      <c r="FA143" s="87"/>
      <c r="FB143" s="87"/>
      <c r="FC143" s="87"/>
      <c r="FD143" s="87"/>
      <c r="FE143" s="89"/>
    </row>
    <row r="144" spans="2:161" s="6" customFormat="1" ht="13.2" hidden="1">
      <c r="B144" s="79" t="s">
        <v>261</v>
      </c>
      <c r="C144" s="103" t="s">
        <v>262</v>
      </c>
      <c r="D144" s="81">
        <f>SUM(E144:AB144)</f>
        <v>0</v>
      </c>
      <c r="E144" s="82">
        <f t="shared" si="66"/>
        <v>0</v>
      </c>
      <c r="F144" s="83">
        <f t="shared" si="66"/>
        <v>0</v>
      </c>
      <c r="G144" s="83">
        <f t="shared" si="66"/>
        <v>0</v>
      </c>
      <c r="H144" s="83">
        <f t="shared" si="66"/>
        <v>0</v>
      </c>
      <c r="I144" s="84">
        <f t="shared" si="66"/>
        <v>0</v>
      </c>
      <c r="J144" s="84">
        <f t="shared" si="66"/>
        <v>0</v>
      </c>
      <c r="K144" s="84">
        <f t="shared" si="66"/>
        <v>0</v>
      </c>
      <c r="L144" s="84">
        <f t="shared" si="66"/>
        <v>0</v>
      </c>
      <c r="M144" s="84">
        <f t="shared" si="66"/>
        <v>0</v>
      </c>
      <c r="N144" s="84">
        <f t="shared" si="66"/>
        <v>0</v>
      </c>
      <c r="O144" s="84">
        <f t="shared" si="67"/>
        <v>0</v>
      </c>
      <c r="P144" s="84">
        <f t="shared" si="67"/>
        <v>0</v>
      </c>
      <c r="Q144" s="84">
        <f t="shared" si="67"/>
        <v>0</v>
      </c>
      <c r="R144" s="84">
        <f t="shared" si="67"/>
        <v>0</v>
      </c>
      <c r="S144" s="84">
        <f t="shared" si="67"/>
        <v>0</v>
      </c>
      <c r="T144" s="84">
        <f t="shared" si="67"/>
        <v>0</v>
      </c>
      <c r="U144" s="84">
        <f t="shared" si="67"/>
        <v>0</v>
      </c>
      <c r="V144" s="84">
        <f t="shared" si="67"/>
        <v>0</v>
      </c>
      <c r="W144" s="84">
        <f>SIS064_F_Neigiamosmoket1Elektrosenergi5</f>
        <v>0</v>
      </c>
      <c r="X144" s="84">
        <f>SUM(SIS062_F_Neigiamosmoket1Geriamojovande1,SIS063_F_Neigiamosmoket1Geriamojovande1,SIS065_F_Neigiamosmoket1Geriamojovande1)</f>
        <v>0</v>
      </c>
      <c r="Y144" s="84">
        <f>SUM(SIS062_F_Neigiamosmoket1Paslaugaproduk8,SIS063_F_Neigiamosmoket1Paslaugaproduk8,SIS065_F_Neigiamosmoket1Paslaugaproduk8)</f>
        <v>0</v>
      </c>
      <c r="Z144" s="84">
        <f>SIS064_F_Neigiamosmoket1Elektrosenergi6</f>
        <v>0</v>
      </c>
      <c r="AA144" s="84">
        <f>SUM(SIS062_F_Neigiamosmoket1Konkurencinesi1,SIS063_F_Neigiamosmoket1Konkurencinesi1,SIS065_F_Neigiamosmoket1Konkurencinesi1,)</f>
        <v>0</v>
      </c>
      <c r="AB144" s="84">
        <f>SUM(SIS062_F_Neigiamosmoket1Paslaugaproduk9,SIS063_F_Neigiamosmoket1Paslaugaproduk9,SIS065_F_Neigiamosmoket1Paslaugaproduk9)</f>
        <v>0</v>
      </c>
      <c r="AC144" s="85">
        <v>0</v>
      </c>
      <c r="AD144" s="86">
        <v>0</v>
      </c>
      <c r="AE144" s="86">
        <v>0</v>
      </c>
      <c r="AF144" s="86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8">
        <v>0</v>
      </c>
      <c r="AV144" s="85">
        <v>0</v>
      </c>
      <c r="AW144" s="86">
        <v>0</v>
      </c>
      <c r="AX144" s="86">
        <v>0</v>
      </c>
      <c r="AY144" s="86">
        <v>0</v>
      </c>
      <c r="AZ144" s="87"/>
      <c r="BA144" s="87"/>
      <c r="BB144" s="87"/>
      <c r="BC144" s="87"/>
      <c r="BD144" s="87"/>
      <c r="BE144" s="87"/>
      <c r="BF144" s="87"/>
      <c r="BG144" s="87"/>
      <c r="BH144" s="87"/>
      <c r="BI144" s="87"/>
      <c r="BJ144" s="87"/>
      <c r="BK144" s="87"/>
      <c r="BL144" s="87"/>
      <c r="BM144" s="87"/>
      <c r="BN144" s="88"/>
      <c r="BO144" s="85"/>
      <c r="BP144" s="86"/>
      <c r="BQ144" s="86"/>
      <c r="BR144" s="86"/>
      <c r="BS144" s="87"/>
      <c r="BT144" s="87"/>
      <c r="BU144" s="87"/>
      <c r="BV144" s="87"/>
      <c r="BW144" s="87"/>
      <c r="BX144" s="87"/>
      <c r="BY144" s="87"/>
      <c r="BZ144" s="87"/>
      <c r="CA144" s="87"/>
      <c r="CB144" s="87"/>
      <c r="CC144" s="87"/>
      <c r="CD144" s="87"/>
      <c r="CE144" s="87"/>
      <c r="CF144" s="87"/>
      <c r="CG144" s="88"/>
      <c r="CH144" s="85"/>
      <c r="CI144" s="86"/>
      <c r="CJ144" s="86"/>
      <c r="CK144" s="86"/>
      <c r="CL144" s="87"/>
      <c r="CM144" s="87"/>
      <c r="CN144" s="87"/>
      <c r="CO144" s="87"/>
      <c r="CP144" s="87"/>
      <c r="CQ144" s="87"/>
      <c r="CR144" s="87"/>
      <c r="CS144" s="87"/>
      <c r="CT144" s="87"/>
      <c r="CU144" s="87"/>
      <c r="CV144" s="87"/>
      <c r="CW144" s="87"/>
      <c r="CX144" s="87"/>
      <c r="CY144" s="87"/>
      <c r="CZ144" s="88"/>
      <c r="DA144" s="85"/>
      <c r="DB144" s="86"/>
      <c r="DC144" s="86"/>
      <c r="DD144" s="86"/>
      <c r="DE144" s="87"/>
      <c r="DF144" s="87"/>
      <c r="DG144" s="87"/>
      <c r="DH144" s="87"/>
      <c r="DI144" s="87"/>
      <c r="DJ144" s="87"/>
      <c r="DK144" s="87"/>
      <c r="DL144" s="87"/>
      <c r="DM144" s="87"/>
      <c r="DN144" s="87"/>
      <c r="DO144" s="87"/>
      <c r="DP144" s="87"/>
      <c r="DQ144" s="87"/>
      <c r="DR144" s="87"/>
      <c r="DS144" s="88"/>
      <c r="DT144" s="85"/>
      <c r="DU144" s="86"/>
      <c r="DV144" s="86"/>
      <c r="DW144" s="86"/>
      <c r="DX144" s="87"/>
      <c r="DY144" s="87"/>
      <c r="DZ144" s="87"/>
      <c r="EA144" s="87"/>
      <c r="EB144" s="87"/>
      <c r="EC144" s="87"/>
      <c r="ED144" s="87"/>
      <c r="EE144" s="87"/>
      <c r="EF144" s="87"/>
      <c r="EG144" s="87"/>
      <c r="EH144" s="87"/>
      <c r="EI144" s="87"/>
      <c r="EJ144" s="87"/>
      <c r="EK144" s="87"/>
      <c r="EL144" s="88"/>
      <c r="EM144" s="85"/>
      <c r="EN144" s="86"/>
      <c r="EO144" s="86"/>
      <c r="EP144" s="86"/>
      <c r="EQ144" s="87"/>
      <c r="ER144" s="87"/>
      <c r="ES144" s="87"/>
      <c r="ET144" s="87"/>
      <c r="EU144" s="87"/>
      <c r="EV144" s="87"/>
      <c r="EW144" s="87"/>
      <c r="EX144" s="87"/>
      <c r="EY144" s="87"/>
      <c r="EZ144" s="87"/>
      <c r="FA144" s="87"/>
      <c r="FB144" s="87"/>
      <c r="FC144" s="87"/>
      <c r="FD144" s="87"/>
      <c r="FE144" s="89"/>
    </row>
    <row r="145" spans="2:161" s="6" customFormat="1" ht="13.2" hidden="1">
      <c r="B145" s="79" t="s">
        <v>263</v>
      </c>
      <c r="C145" s="103" t="str">
        <f>SIS055_D_Kitosfinansine1</f>
        <v>Kitos finansinės sąnaudos (nurodyti)</v>
      </c>
      <c r="D145" s="81">
        <f>SUM(E145:AB145)</f>
        <v>0</v>
      </c>
      <c r="E145" s="82">
        <f t="shared" si="66"/>
        <v>0</v>
      </c>
      <c r="F145" s="83">
        <f t="shared" si="66"/>
        <v>0</v>
      </c>
      <c r="G145" s="83">
        <f t="shared" si="66"/>
        <v>0</v>
      </c>
      <c r="H145" s="83">
        <f t="shared" si="66"/>
        <v>0</v>
      </c>
      <c r="I145" s="84">
        <f t="shared" si="66"/>
        <v>0</v>
      </c>
      <c r="J145" s="84">
        <f t="shared" si="66"/>
        <v>0</v>
      </c>
      <c r="K145" s="84">
        <f t="shared" si="66"/>
        <v>0</v>
      </c>
      <c r="L145" s="84">
        <f t="shared" si="66"/>
        <v>0</v>
      </c>
      <c r="M145" s="84">
        <f t="shared" si="66"/>
        <v>0</v>
      </c>
      <c r="N145" s="84">
        <f t="shared" si="66"/>
        <v>0</v>
      </c>
      <c r="O145" s="84">
        <f t="shared" si="67"/>
        <v>0</v>
      </c>
      <c r="P145" s="84">
        <f t="shared" si="67"/>
        <v>0</v>
      </c>
      <c r="Q145" s="84">
        <f t="shared" si="67"/>
        <v>0</v>
      </c>
      <c r="R145" s="84">
        <f t="shared" si="67"/>
        <v>0</v>
      </c>
      <c r="S145" s="84">
        <f t="shared" si="67"/>
        <v>0</v>
      </c>
      <c r="T145" s="84">
        <f t="shared" si="67"/>
        <v>0</v>
      </c>
      <c r="U145" s="84">
        <f t="shared" si="67"/>
        <v>0</v>
      </c>
      <c r="V145" s="84">
        <f t="shared" si="67"/>
        <v>0</v>
      </c>
      <c r="W145" s="84">
        <f>SIS064_F_Kitosfinansine1Elektrosenergi5</f>
        <v>0</v>
      </c>
      <c r="X145" s="84">
        <f>SUM(SIS062_F_Kitosfinansine1Geriamojovande1,SIS063_F_Kitosfinansine1Geriamojovande1,SIS065_F_Kitosfinansine1Geriamojovande1)</f>
        <v>0</v>
      </c>
      <c r="Y145" s="84">
        <f>SUM(SIS062_F_Kitosfinansine1Paslaugaproduk8,SIS063_F_Kitosfinansine1Paslaugaproduk8,SIS065_F_Kitosfinansine1Paslaugaproduk8)</f>
        <v>0</v>
      </c>
      <c r="Z145" s="84">
        <f>SIS064_F_Kitosfinansine1Elektrosenergi6</f>
        <v>0</v>
      </c>
      <c r="AA145" s="84">
        <f>SUM(SIS062_F_Kitosfinansine1Konkurencinesi1,SIS063_F_Kitosfinansine1Konkurencinesi1,SIS065_F_Kitosfinansine1Konkurencinesi1,)</f>
        <v>0</v>
      </c>
      <c r="AB145" s="84">
        <f>SUM(SIS062_F_Kitosfinansine1Paslaugaproduk9,SIS063_F_Kitosfinansine1Paslaugaproduk9,SIS065_F_Kitosfinansine1Paslaugaproduk9)</f>
        <v>0</v>
      </c>
      <c r="AC145" s="85">
        <v>0</v>
      </c>
      <c r="AD145" s="86">
        <v>0</v>
      </c>
      <c r="AE145" s="86">
        <v>0</v>
      </c>
      <c r="AF145" s="86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</v>
      </c>
      <c r="AL145" s="87">
        <v>0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8">
        <v>0</v>
      </c>
      <c r="AV145" s="85">
        <v>0</v>
      </c>
      <c r="AW145" s="86">
        <v>0</v>
      </c>
      <c r="AX145" s="86">
        <v>0</v>
      </c>
      <c r="AY145" s="86">
        <v>0</v>
      </c>
      <c r="AZ145" s="87"/>
      <c r="BA145" s="87"/>
      <c r="BB145" s="87"/>
      <c r="BC145" s="87"/>
      <c r="BD145" s="87"/>
      <c r="BE145" s="87"/>
      <c r="BF145" s="87"/>
      <c r="BG145" s="87"/>
      <c r="BH145" s="87"/>
      <c r="BI145" s="87"/>
      <c r="BJ145" s="87"/>
      <c r="BK145" s="87"/>
      <c r="BL145" s="87"/>
      <c r="BM145" s="87"/>
      <c r="BN145" s="88"/>
      <c r="BO145" s="85"/>
      <c r="BP145" s="86"/>
      <c r="BQ145" s="86"/>
      <c r="BR145" s="86"/>
      <c r="BS145" s="87"/>
      <c r="BT145" s="87"/>
      <c r="BU145" s="87"/>
      <c r="BV145" s="87"/>
      <c r="BW145" s="87"/>
      <c r="BX145" s="87"/>
      <c r="BY145" s="87"/>
      <c r="BZ145" s="87"/>
      <c r="CA145" s="87"/>
      <c r="CB145" s="87"/>
      <c r="CC145" s="87"/>
      <c r="CD145" s="87"/>
      <c r="CE145" s="87"/>
      <c r="CF145" s="87"/>
      <c r="CG145" s="88"/>
      <c r="CH145" s="85"/>
      <c r="CI145" s="86"/>
      <c r="CJ145" s="86"/>
      <c r="CK145" s="86"/>
      <c r="CL145" s="87"/>
      <c r="CM145" s="87"/>
      <c r="CN145" s="87"/>
      <c r="CO145" s="87"/>
      <c r="CP145" s="87"/>
      <c r="CQ145" s="87"/>
      <c r="CR145" s="87"/>
      <c r="CS145" s="87"/>
      <c r="CT145" s="87"/>
      <c r="CU145" s="87"/>
      <c r="CV145" s="87"/>
      <c r="CW145" s="87"/>
      <c r="CX145" s="87"/>
      <c r="CY145" s="87"/>
      <c r="CZ145" s="88"/>
      <c r="DA145" s="85"/>
      <c r="DB145" s="86"/>
      <c r="DC145" s="86"/>
      <c r="DD145" s="86"/>
      <c r="DE145" s="87"/>
      <c r="DF145" s="87"/>
      <c r="DG145" s="87"/>
      <c r="DH145" s="87"/>
      <c r="DI145" s="87"/>
      <c r="DJ145" s="87"/>
      <c r="DK145" s="87"/>
      <c r="DL145" s="87"/>
      <c r="DM145" s="87"/>
      <c r="DN145" s="87"/>
      <c r="DO145" s="87"/>
      <c r="DP145" s="87"/>
      <c r="DQ145" s="87"/>
      <c r="DR145" s="87"/>
      <c r="DS145" s="88"/>
      <c r="DT145" s="85"/>
      <c r="DU145" s="86"/>
      <c r="DV145" s="86"/>
      <c r="DW145" s="86"/>
      <c r="DX145" s="87"/>
      <c r="DY145" s="87"/>
      <c r="DZ145" s="87"/>
      <c r="EA145" s="87"/>
      <c r="EB145" s="87"/>
      <c r="EC145" s="87"/>
      <c r="ED145" s="87"/>
      <c r="EE145" s="87"/>
      <c r="EF145" s="87"/>
      <c r="EG145" s="87"/>
      <c r="EH145" s="87"/>
      <c r="EI145" s="87"/>
      <c r="EJ145" s="87"/>
      <c r="EK145" s="87"/>
      <c r="EL145" s="88"/>
      <c r="EM145" s="85"/>
      <c r="EN145" s="86"/>
      <c r="EO145" s="86"/>
      <c r="EP145" s="86"/>
      <c r="EQ145" s="87"/>
      <c r="ER145" s="87"/>
      <c r="ES145" s="87"/>
      <c r="ET145" s="87"/>
      <c r="EU145" s="87"/>
      <c r="EV145" s="87"/>
      <c r="EW145" s="87"/>
      <c r="EX145" s="87"/>
      <c r="EY145" s="87"/>
      <c r="EZ145" s="87"/>
      <c r="FA145" s="87"/>
      <c r="FB145" s="87"/>
      <c r="FC145" s="87"/>
      <c r="FD145" s="87"/>
      <c r="FE145" s="89"/>
    </row>
    <row r="146" spans="2:161" s="6" customFormat="1" ht="13.2" hidden="1">
      <c r="B146" s="79" t="s">
        <v>264</v>
      </c>
      <c r="C146" s="103" t="str">
        <f>SIS055_D_Kitosfinansine2</f>
        <v>Kitos finansinės sąnaudos (nurodyti)</v>
      </c>
      <c r="D146" s="81">
        <f>SUM(E146:AB146)</f>
        <v>0</v>
      </c>
      <c r="E146" s="82">
        <f t="shared" si="66"/>
        <v>0</v>
      </c>
      <c r="F146" s="83">
        <f t="shared" si="66"/>
        <v>0</v>
      </c>
      <c r="G146" s="83">
        <f t="shared" si="66"/>
        <v>0</v>
      </c>
      <c r="H146" s="83">
        <f t="shared" si="66"/>
        <v>0</v>
      </c>
      <c r="I146" s="84">
        <f t="shared" si="66"/>
        <v>0</v>
      </c>
      <c r="J146" s="84">
        <f t="shared" si="66"/>
        <v>0</v>
      </c>
      <c r="K146" s="84">
        <f t="shared" si="66"/>
        <v>0</v>
      </c>
      <c r="L146" s="84">
        <f t="shared" si="66"/>
        <v>0</v>
      </c>
      <c r="M146" s="84">
        <f t="shared" si="66"/>
        <v>0</v>
      </c>
      <c r="N146" s="84">
        <f t="shared" si="66"/>
        <v>0</v>
      </c>
      <c r="O146" s="84">
        <f t="shared" si="67"/>
        <v>0</v>
      </c>
      <c r="P146" s="84">
        <f t="shared" si="67"/>
        <v>0</v>
      </c>
      <c r="Q146" s="84">
        <f t="shared" si="67"/>
        <v>0</v>
      </c>
      <c r="R146" s="84">
        <f t="shared" si="67"/>
        <v>0</v>
      </c>
      <c r="S146" s="84">
        <f t="shared" si="67"/>
        <v>0</v>
      </c>
      <c r="T146" s="84">
        <f t="shared" si="67"/>
        <v>0</v>
      </c>
      <c r="U146" s="84">
        <f t="shared" si="67"/>
        <v>0</v>
      </c>
      <c r="V146" s="84">
        <f t="shared" si="67"/>
        <v>0</v>
      </c>
      <c r="W146" s="84">
        <f>SIS064_F_Kitosfinansine2Elektrosenergi5</f>
        <v>0</v>
      </c>
      <c r="X146" s="84">
        <f>SUM(SIS062_F_Kitosfinansine2Geriamojovande1,SIS063_F_Kitosfinansine2Geriamojovande1,SIS065_F_Kitosfinansine2Geriamojovande1)</f>
        <v>0</v>
      </c>
      <c r="Y146" s="84">
        <f>SUM(SIS062_F_Kitosfinansine2Paslaugaproduk8,SIS063_F_Kitosfinansine2Paslaugaproduk8,SIS065_F_Kitosfinansine2Paslaugaproduk8)</f>
        <v>0</v>
      </c>
      <c r="Z146" s="84">
        <f>SIS064_F_Kitosfinansine2Elektrosenergi6</f>
        <v>0</v>
      </c>
      <c r="AA146" s="84">
        <f>SUM(SIS062_F_Kitosfinansine2Konkurencinesi1,SIS063_F_Kitosfinansine2Konkurencinesi1,SIS065_F_Kitosfinansine2Konkurencinesi1,)</f>
        <v>0</v>
      </c>
      <c r="AB146" s="84">
        <f>SUM(SIS062_F_Kitosfinansine2Paslaugaproduk9,SIS063_F_Kitosfinansine2Paslaugaproduk9,SIS065_F_Kitosfinansine2Paslaugaproduk9)</f>
        <v>0</v>
      </c>
      <c r="AC146" s="85">
        <v>0</v>
      </c>
      <c r="AD146" s="86">
        <v>0</v>
      </c>
      <c r="AE146" s="86">
        <v>0</v>
      </c>
      <c r="AF146" s="86">
        <v>0</v>
      </c>
      <c r="AG146" s="87">
        <v>0</v>
      </c>
      <c r="AH146" s="87">
        <v>0</v>
      </c>
      <c r="AI146" s="87">
        <v>0</v>
      </c>
      <c r="AJ146" s="87">
        <v>0</v>
      </c>
      <c r="AK146" s="87">
        <v>0</v>
      </c>
      <c r="AL146" s="87">
        <v>0</v>
      </c>
      <c r="AM146" s="87">
        <v>0</v>
      </c>
      <c r="AN146" s="87">
        <v>0</v>
      </c>
      <c r="AO146" s="87">
        <v>0</v>
      </c>
      <c r="AP146" s="87">
        <v>0</v>
      </c>
      <c r="AQ146" s="87">
        <v>0</v>
      </c>
      <c r="AR146" s="87">
        <v>0</v>
      </c>
      <c r="AS146" s="87">
        <v>0</v>
      </c>
      <c r="AT146" s="87">
        <v>0</v>
      </c>
      <c r="AU146" s="88">
        <v>0</v>
      </c>
      <c r="AV146" s="85">
        <v>0</v>
      </c>
      <c r="AW146" s="86">
        <v>0</v>
      </c>
      <c r="AX146" s="86">
        <v>0</v>
      </c>
      <c r="AY146" s="86">
        <v>0</v>
      </c>
      <c r="AZ146" s="87"/>
      <c r="BA146" s="87"/>
      <c r="BB146" s="87"/>
      <c r="BC146" s="87"/>
      <c r="BD146" s="87"/>
      <c r="BE146" s="87"/>
      <c r="BF146" s="87"/>
      <c r="BG146" s="87"/>
      <c r="BH146" s="87"/>
      <c r="BI146" s="87"/>
      <c r="BJ146" s="87"/>
      <c r="BK146" s="87"/>
      <c r="BL146" s="87"/>
      <c r="BM146" s="87"/>
      <c r="BN146" s="88"/>
      <c r="BO146" s="85"/>
      <c r="BP146" s="86"/>
      <c r="BQ146" s="86"/>
      <c r="BR146" s="86"/>
      <c r="BS146" s="87"/>
      <c r="BT146" s="87"/>
      <c r="BU146" s="87"/>
      <c r="BV146" s="87"/>
      <c r="BW146" s="87"/>
      <c r="BX146" s="87"/>
      <c r="BY146" s="87"/>
      <c r="BZ146" s="87"/>
      <c r="CA146" s="87"/>
      <c r="CB146" s="87"/>
      <c r="CC146" s="87"/>
      <c r="CD146" s="87"/>
      <c r="CE146" s="87"/>
      <c r="CF146" s="87"/>
      <c r="CG146" s="88"/>
      <c r="CH146" s="85"/>
      <c r="CI146" s="86"/>
      <c r="CJ146" s="86"/>
      <c r="CK146" s="86"/>
      <c r="CL146" s="87"/>
      <c r="CM146" s="87"/>
      <c r="CN146" s="87"/>
      <c r="CO146" s="87"/>
      <c r="CP146" s="87"/>
      <c r="CQ146" s="87"/>
      <c r="CR146" s="87"/>
      <c r="CS146" s="87"/>
      <c r="CT146" s="87"/>
      <c r="CU146" s="87"/>
      <c r="CV146" s="87"/>
      <c r="CW146" s="87"/>
      <c r="CX146" s="87"/>
      <c r="CY146" s="87"/>
      <c r="CZ146" s="88"/>
      <c r="DA146" s="85"/>
      <c r="DB146" s="86"/>
      <c r="DC146" s="86"/>
      <c r="DD146" s="86"/>
      <c r="DE146" s="87"/>
      <c r="DF146" s="87"/>
      <c r="DG146" s="87"/>
      <c r="DH146" s="87"/>
      <c r="DI146" s="87"/>
      <c r="DJ146" s="87"/>
      <c r="DK146" s="87"/>
      <c r="DL146" s="87"/>
      <c r="DM146" s="87"/>
      <c r="DN146" s="87"/>
      <c r="DO146" s="87"/>
      <c r="DP146" s="87"/>
      <c r="DQ146" s="87"/>
      <c r="DR146" s="87"/>
      <c r="DS146" s="88"/>
      <c r="DT146" s="85"/>
      <c r="DU146" s="86"/>
      <c r="DV146" s="86"/>
      <c r="DW146" s="86"/>
      <c r="DX146" s="87"/>
      <c r="DY146" s="87"/>
      <c r="DZ146" s="87"/>
      <c r="EA146" s="87"/>
      <c r="EB146" s="87"/>
      <c r="EC146" s="87"/>
      <c r="ED146" s="87"/>
      <c r="EE146" s="87"/>
      <c r="EF146" s="87"/>
      <c r="EG146" s="87"/>
      <c r="EH146" s="87"/>
      <c r="EI146" s="87"/>
      <c r="EJ146" s="87"/>
      <c r="EK146" s="87"/>
      <c r="EL146" s="88"/>
      <c r="EM146" s="85"/>
      <c r="EN146" s="86"/>
      <c r="EO146" s="86"/>
      <c r="EP146" s="86"/>
      <c r="EQ146" s="87"/>
      <c r="ER146" s="87"/>
      <c r="ES146" s="87"/>
      <c r="ET146" s="87"/>
      <c r="EU146" s="87"/>
      <c r="EV146" s="87"/>
      <c r="EW146" s="87"/>
      <c r="EX146" s="87"/>
      <c r="EY146" s="87"/>
      <c r="EZ146" s="87"/>
      <c r="FA146" s="87"/>
      <c r="FB146" s="87"/>
      <c r="FC146" s="87"/>
      <c r="FD146" s="87"/>
      <c r="FE146" s="89"/>
    </row>
    <row r="147" spans="2:161" s="6" customFormat="1" ht="13.2">
      <c r="B147" s="93" t="s">
        <v>265</v>
      </c>
      <c r="C147" s="111" t="s">
        <v>266</v>
      </c>
      <c r="D147" s="106">
        <f t="shared" ref="D147:BO147" si="68">SUM(D148:D159)</f>
        <v>41665.369999999995</v>
      </c>
      <c r="E147" s="95">
        <f t="shared" si="68"/>
        <v>26876.85253637706</v>
      </c>
      <c r="F147" s="96">
        <f t="shared" si="68"/>
        <v>0</v>
      </c>
      <c r="G147" s="96">
        <f t="shared" si="68"/>
        <v>0</v>
      </c>
      <c r="H147" s="96">
        <f t="shared" si="68"/>
        <v>0</v>
      </c>
      <c r="I147" s="97">
        <f t="shared" si="68"/>
        <v>0</v>
      </c>
      <c r="J147" s="97">
        <f t="shared" si="68"/>
        <v>7470.702769352255</v>
      </c>
      <c r="K147" s="97">
        <f t="shared" si="68"/>
        <v>0</v>
      </c>
      <c r="L147" s="97">
        <f t="shared" si="68"/>
        <v>0</v>
      </c>
      <c r="M147" s="97">
        <f t="shared" si="68"/>
        <v>1481.5959036683371</v>
      </c>
      <c r="N147" s="97">
        <f t="shared" si="68"/>
        <v>957.36330576135708</v>
      </c>
      <c r="O147" s="97">
        <f t="shared" si="68"/>
        <v>0</v>
      </c>
      <c r="P147" s="97">
        <f t="shared" si="68"/>
        <v>785.59420648273203</v>
      </c>
      <c r="Q147" s="97">
        <f t="shared" si="68"/>
        <v>0</v>
      </c>
      <c r="R147" s="97">
        <f t="shared" si="68"/>
        <v>0</v>
      </c>
      <c r="S147" s="97">
        <f t="shared" si="68"/>
        <v>3826.5765319875409</v>
      </c>
      <c r="T147" s="97">
        <f t="shared" si="68"/>
        <v>0</v>
      </c>
      <c r="U147" s="97">
        <f t="shared" si="68"/>
        <v>0</v>
      </c>
      <c r="V147" s="97">
        <f t="shared" si="68"/>
        <v>0</v>
      </c>
      <c r="W147" s="97">
        <f t="shared" si="68"/>
        <v>0</v>
      </c>
      <c r="X147" s="97">
        <f t="shared" si="68"/>
        <v>0</v>
      </c>
      <c r="Y147" s="97">
        <f t="shared" si="68"/>
        <v>0</v>
      </c>
      <c r="Z147" s="97">
        <f t="shared" si="68"/>
        <v>0</v>
      </c>
      <c r="AA147" s="97">
        <f t="shared" si="68"/>
        <v>0</v>
      </c>
      <c r="AB147" s="97">
        <f t="shared" si="68"/>
        <v>266.6847463707154</v>
      </c>
      <c r="AC147" s="98">
        <f t="shared" si="68"/>
        <v>26876.85253637706</v>
      </c>
      <c r="AD147" s="99">
        <f t="shared" si="68"/>
        <v>0</v>
      </c>
      <c r="AE147" s="99">
        <f t="shared" si="68"/>
        <v>0</v>
      </c>
      <c r="AF147" s="99">
        <f t="shared" si="68"/>
        <v>0</v>
      </c>
      <c r="AG147" s="100">
        <f t="shared" si="68"/>
        <v>0</v>
      </c>
      <c r="AH147" s="100">
        <f t="shared" si="68"/>
        <v>7470.702769352255</v>
      </c>
      <c r="AI147" s="100">
        <f t="shared" si="68"/>
        <v>0</v>
      </c>
      <c r="AJ147" s="100">
        <f t="shared" si="68"/>
        <v>0</v>
      </c>
      <c r="AK147" s="100">
        <f t="shared" si="68"/>
        <v>1481.5959036683371</v>
      </c>
      <c r="AL147" s="100">
        <f t="shared" si="68"/>
        <v>957.36330576135708</v>
      </c>
      <c r="AM147" s="100">
        <f t="shared" si="68"/>
        <v>0</v>
      </c>
      <c r="AN147" s="100">
        <f t="shared" si="68"/>
        <v>785.59420648273203</v>
      </c>
      <c r="AO147" s="100">
        <f t="shared" si="68"/>
        <v>0</v>
      </c>
      <c r="AP147" s="100">
        <f t="shared" si="68"/>
        <v>0</v>
      </c>
      <c r="AQ147" s="100">
        <f t="shared" si="68"/>
        <v>3826.5765319875409</v>
      </c>
      <c r="AR147" s="100">
        <f t="shared" si="68"/>
        <v>0</v>
      </c>
      <c r="AS147" s="100">
        <f t="shared" si="68"/>
        <v>0</v>
      </c>
      <c r="AT147" s="100">
        <f t="shared" si="68"/>
        <v>0</v>
      </c>
      <c r="AU147" s="97">
        <f t="shared" si="68"/>
        <v>0</v>
      </c>
      <c r="AV147" s="98">
        <f t="shared" si="68"/>
        <v>0</v>
      </c>
      <c r="AW147" s="99">
        <f t="shared" si="68"/>
        <v>0</v>
      </c>
      <c r="AX147" s="99">
        <f t="shared" si="68"/>
        <v>0</v>
      </c>
      <c r="AY147" s="99">
        <f t="shared" si="68"/>
        <v>0</v>
      </c>
      <c r="AZ147" s="100">
        <f t="shared" si="68"/>
        <v>0</v>
      </c>
      <c r="BA147" s="100">
        <f t="shared" si="68"/>
        <v>0</v>
      </c>
      <c r="BB147" s="100">
        <f t="shared" si="68"/>
        <v>0</v>
      </c>
      <c r="BC147" s="100">
        <f t="shared" si="68"/>
        <v>0</v>
      </c>
      <c r="BD147" s="100">
        <f t="shared" si="68"/>
        <v>0</v>
      </c>
      <c r="BE147" s="100">
        <f t="shared" si="68"/>
        <v>0</v>
      </c>
      <c r="BF147" s="100">
        <f t="shared" si="68"/>
        <v>0</v>
      </c>
      <c r="BG147" s="100">
        <f t="shared" si="68"/>
        <v>0</v>
      </c>
      <c r="BH147" s="100">
        <f t="shared" si="68"/>
        <v>0</v>
      </c>
      <c r="BI147" s="100">
        <f t="shared" si="68"/>
        <v>0</v>
      </c>
      <c r="BJ147" s="100">
        <f t="shared" si="68"/>
        <v>0</v>
      </c>
      <c r="BK147" s="100">
        <f t="shared" si="68"/>
        <v>0</v>
      </c>
      <c r="BL147" s="100">
        <f t="shared" si="68"/>
        <v>0</v>
      </c>
      <c r="BM147" s="100">
        <f t="shared" si="68"/>
        <v>0</v>
      </c>
      <c r="BN147" s="97">
        <f t="shared" si="68"/>
        <v>0</v>
      </c>
      <c r="BO147" s="98">
        <f t="shared" si="68"/>
        <v>0</v>
      </c>
      <c r="BP147" s="99">
        <f t="shared" ref="BP147:EA147" si="69">SUM(BP148:BP159)</f>
        <v>0</v>
      </c>
      <c r="BQ147" s="99">
        <f t="shared" si="69"/>
        <v>0</v>
      </c>
      <c r="BR147" s="99">
        <f t="shared" si="69"/>
        <v>0</v>
      </c>
      <c r="BS147" s="100">
        <f t="shared" si="69"/>
        <v>0</v>
      </c>
      <c r="BT147" s="100">
        <f t="shared" si="69"/>
        <v>0</v>
      </c>
      <c r="BU147" s="100">
        <f t="shared" si="69"/>
        <v>0</v>
      </c>
      <c r="BV147" s="100">
        <f t="shared" si="69"/>
        <v>0</v>
      </c>
      <c r="BW147" s="100">
        <f t="shared" si="69"/>
        <v>0</v>
      </c>
      <c r="BX147" s="100">
        <f t="shared" si="69"/>
        <v>0</v>
      </c>
      <c r="BY147" s="100">
        <f t="shared" si="69"/>
        <v>0</v>
      </c>
      <c r="BZ147" s="100">
        <f t="shared" si="69"/>
        <v>0</v>
      </c>
      <c r="CA147" s="100">
        <f t="shared" si="69"/>
        <v>0</v>
      </c>
      <c r="CB147" s="100">
        <f t="shared" si="69"/>
        <v>0</v>
      </c>
      <c r="CC147" s="100">
        <f t="shared" si="69"/>
        <v>0</v>
      </c>
      <c r="CD147" s="100">
        <f t="shared" si="69"/>
        <v>0</v>
      </c>
      <c r="CE147" s="100">
        <f t="shared" si="69"/>
        <v>0</v>
      </c>
      <c r="CF147" s="100">
        <f t="shared" si="69"/>
        <v>0</v>
      </c>
      <c r="CG147" s="97">
        <f t="shared" si="69"/>
        <v>0</v>
      </c>
      <c r="CH147" s="98">
        <f t="shared" si="69"/>
        <v>0</v>
      </c>
      <c r="CI147" s="99">
        <f t="shared" si="69"/>
        <v>0</v>
      </c>
      <c r="CJ147" s="99">
        <f t="shared" si="69"/>
        <v>0</v>
      </c>
      <c r="CK147" s="99">
        <f t="shared" si="69"/>
        <v>0</v>
      </c>
      <c r="CL147" s="100">
        <f t="shared" si="69"/>
        <v>0</v>
      </c>
      <c r="CM147" s="100">
        <f t="shared" si="69"/>
        <v>0</v>
      </c>
      <c r="CN147" s="100">
        <f t="shared" si="69"/>
        <v>0</v>
      </c>
      <c r="CO147" s="100">
        <f t="shared" si="69"/>
        <v>0</v>
      </c>
      <c r="CP147" s="100">
        <f t="shared" si="69"/>
        <v>0</v>
      </c>
      <c r="CQ147" s="100">
        <f t="shared" si="69"/>
        <v>0</v>
      </c>
      <c r="CR147" s="100">
        <f t="shared" si="69"/>
        <v>0</v>
      </c>
      <c r="CS147" s="100">
        <f t="shared" si="69"/>
        <v>0</v>
      </c>
      <c r="CT147" s="100">
        <f t="shared" si="69"/>
        <v>0</v>
      </c>
      <c r="CU147" s="100">
        <f t="shared" si="69"/>
        <v>0</v>
      </c>
      <c r="CV147" s="100">
        <f t="shared" si="69"/>
        <v>0</v>
      </c>
      <c r="CW147" s="100">
        <f t="shared" si="69"/>
        <v>0</v>
      </c>
      <c r="CX147" s="100">
        <f t="shared" si="69"/>
        <v>0</v>
      </c>
      <c r="CY147" s="100">
        <f t="shared" si="69"/>
        <v>0</v>
      </c>
      <c r="CZ147" s="97">
        <f t="shared" si="69"/>
        <v>0</v>
      </c>
      <c r="DA147" s="98">
        <f t="shared" si="69"/>
        <v>0</v>
      </c>
      <c r="DB147" s="99">
        <f t="shared" si="69"/>
        <v>0</v>
      </c>
      <c r="DC147" s="99">
        <f t="shared" si="69"/>
        <v>0</v>
      </c>
      <c r="DD147" s="99">
        <f t="shared" si="69"/>
        <v>0</v>
      </c>
      <c r="DE147" s="100">
        <f t="shared" si="69"/>
        <v>0</v>
      </c>
      <c r="DF147" s="100">
        <f t="shared" si="69"/>
        <v>0</v>
      </c>
      <c r="DG147" s="100">
        <f t="shared" si="69"/>
        <v>0</v>
      </c>
      <c r="DH147" s="100">
        <f t="shared" si="69"/>
        <v>0</v>
      </c>
      <c r="DI147" s="100">
        <f t="shared" si="69"/>
        <v>0</v>
      </c>
      <c r="DJ147" s="100">
        <f t="shared" si="69"/>
        <v>0</v>
      </c>
      <c r="DK147" s="100">
        <f t="shared" si="69"/>
        <v>0</v>
      </c>
      <c r="DL147" s="100">
        <f t="shared" si="69"/>
        <v>0</v>
      </c>
      <c r="DM147" s="100">
        <f t="shared" si="69"/>
        <v>0</v>
      </c>
      <c r="DN147" s="100">
        <f t="shared" si="69"/>
        <v>0</v>
      </c>
      <c r="DO147" s="100">
        <f t="shared" si="69"/>
        <v>0</v>
      </c>
      <c r="DP147" s="100">
        <f t="shared" si="69"/>
        <v>0</v>
      </c>
      <c r="DQ147" s="100">
        <f t="shared" si="69"/>
        <v>0</v>
      </c>
      <c r="DR147" s="100">
        <f t="shared" si="69"/>
        <v>0</v>
      </c>
      <c r="DS147" s="97">
        <f t="shared" si="69"/>
        <v>0</v>
      </c>
      <c r="DT147" s="98">
        <f t="shared" si="69"/>
        <v>0</v>
      </c>
      <c r="DU147" s="99">
        <f t="shared" si="69"/>
        <v>0</v>
      </c>
      <c r="DV147" s="99">
        <f t="shared" si="69"/>
        <v>0</v>
      </c>
      <c r="DW147" s="99">
        <f t="shared" si="69"/>
        <v>0</v>
      </c>
      <c r="DX147" s="100">
        <f t="shared" si="69"/>
        <v>0</v>
      </c>
      <c r="DY147" s="100">
        <f t="shared" si="69"/>
        <v>0</v>
      </c>
      <c r="DZ147" s="100">
        <f t="shared" si="69"/>
        <v>0</v>
      </c>
      <c r="EA147" s="100">
        <f t="shared" si="69"/>
        <v>0</v>
      </c>
      <c r="EB147" s="100">
        <f t="shared" ref="EB147:GP147" si="70">SUM(EB148:EB159)</f>
        <v>0</v>
      </c>
      <c r="EC147" s="100">
        <f t="shared" si="70"/>
        <v>0</v>
      </c>
      <c r="ED147" s="100">
        <f t="shared" si="70"/>
        <v>0</v>
      </c>
      <c r="EE147" s="100">
        <f t="shared" si="70"/>
        <v>0</v>
      </c>
      <c r="EF147" s="100">
        <f t="shared" si="70"/>
        <v>0</v>
      </c>
      <c r="EG147" s="100">
        <f t="shared" si="70"/>
        <v>0</v>
      </c>
      <c r="EH147" s="100">
        <f t="shared" si="70"/>
        <v>0</v>
      </c>
      <c r="EI147" s="100">
        <f t="shared" si="70"/>
        <v>0</v>
      </c>
      <c r="EJ147" s="100">
        <f t="shared" si="70"/>
        <v>0</v>
      </c>
      <c r="EK147" s="100">
        <f t="shared" si="70"/>
        <v>0</v>
      </c>
      <c r="EL147" s="97">
        <f t="shared" si="70"/>
        <v>0</v>
      </c>
      <c r="EM147" s="98">
        <f t="shared" si="70"/>
        <v>0</v>
      </c>
      <c r="EN147" s="99">
        <f t="shared" si="70"/>
        <v>0</v>
      </c>
      <c r="EO147" s="99">
        <f t="shared" si="70"/>
        <v>0</v>
      </c>
      <c r="EP147" s="99">
        <f t="shared" si="70"/>
        <v>0</v>
      </c>
      <c r="EQ147" s="100">
        <f t="shared" si="70"/>
        <v>0</v>
      </c>
      <c r="ER147" s="100">
        <f t="shared" si="70"/>
        <v>0</v>
      </c>
      <c r="ES147" s="100">
        <f t="shared" si="70"/>
        <v>0</v>
      </c>
      <c r="ET147" s="100">
        <f t="shared" si="70"/>
        <v>0</v>
      </c>
      <c r="EU147" s="100">
        <f t="shared" si="70"/>
        <v>0</v>
      </c>
      <c r="EV147" s="100">
        <f t="shared" si="70"/>
        <v>0</v>
      </c>
      <c r="EW147" s="100">
        <f t="shared" si="70"/>
        <v>0</v>
      </c>
      <c r="EX147" s="100">
        <f t="shared" si="70"/>
        <v>0</v>
      </c>
      <c r="EY147" s="100">
        <f t="shared" si="70"/>
        <v>0</v>
      </c>
      <c r="EZ147" s="100">
        <f t="shared" si="70"/>
        <v>0</v>
      </c>
      <c r="FA147" s="100">
        <f t="shared" si="70"/>
        <v>0</v>
      </c>
      <c r="FB147" s="100">
        <f t="shared" si="70"/>
        <v>0</v>
      </c>
      <c r="FC147" s="100">
        <f t="shared" si="70"/>
        <v>0</v>
      </c>
      <c r="FD147" s="100">
        <f t="shared" si="70"/>
        <v>0</v>
      </c>
      <c r="FE147" s="101">
        <f t="shared" si="70"/>
        <v>0</v>
      </c>
    </row>
    <row r="148" spans="2:161" s="6" customFormat="1" ht="13.2">
      <c r="B148" s="108" t="s">
        <v>267</v>
      </c>
      <c r="C148" s="110" t="s">
        <v>268</v>
      </c>
      <c r="D148" s="81">
        <f t="shared" ref="D148:D159" si="71">SUM(E148:AB148)</f>
        <v>709.72000000000014</v>
      </c>
      <c r="E148" s="82">
        <f t="shared" ref="E148:T159" si="72">SUM(AC148,AV148,BO148,CH148,DA148,DT148,EM148)</f>
        <v>433.90262571697656</v>
      </c>
      <c r="F148" s="83">
        <f t="shared" si="72"/>
        <v>0</v>
      </c>
      <c r="G148" s="83">
        <f t="shared" si="72"/>
        <v>0</v>
      </c>
      <c r="H148" s="83">
        <f t="shared" si="72"/>
        <v>0</v>
      </c>
      <c r="I148" s="84">
        <f t="shared" si="72"/>
        <v>0</v>
      </c>
      <c r="J148" s="84">
        <f t="shared" si="72"/>
        <v>132.88049454275173</v>
      </c>
      <c r="K148" s="84">
        <f t="shared" si="72"/>
        <v>0</v>
      </c>
      <c r="L148" s="84">
        <f t="shared" si="72"/>
        <v>0</v>
      </c>
      <c r="M148" s="84">
        <f t="shared" si="72"/>
        <v>56.609701557777697</v>
      </c>
      <c r="N148" s="84">
        <f t="shared" si="72"/>
        <v>17.028506347292797</v>
      </c>
      <c r="O148" s="84">
        <f t="shared" si="72"/>
        <v>0</v>
      </c>
      <c r="P148" s="84">
        <f t="shared" si="72"/>
        <v>13.973269970744289</v>
      </c>
      <c r="Q148" s="84">
        <f t="shared" si="72"/>
        <v>0</v>
      </c>
      <c r="R148" s="84">
        <f t="shared" si="72"/>
        <v>0</v>
      </c>
      <c r="S148" s="84">
        <f t="shared" si="72"/>
        <v>50.581912251923264</v>
      </c>
      <c r="T148" s="84">
        <f t="shared" si="72"/>
        <v>0</v>
      </c>
      <c r="U148" s="84">
        <f t="shared" ref="U148:V159" si="73">SUM(AS148,BL148,CE148,CX148,DQ148,EJ148,FC148)</f>
        <v>0</v>
      </c>
      <c r="V148" s="84">
        <f t="shared" si="73"/>
        <v>0</v>
      </c>
      <c r="W148" s="84">
        <f>SIS064_F_Teisinespaslau1Elektrosenergi5</f>
        <v>0</v>
      </c>
      <c r="X148" s="84">
        <f>SUM(SIS062_F_Teisinespaslau1Geriamojovande1,SIS063_F_Teisinespaslau1Geriamojovande1,SIS065_F_Teisinespaslau1Geriamojovande1)</f>
        <v>0</v>
      </c>
      <c r="Y148" s="84">
        <f>SUM(SIS062_F_Teisinespaslau1Paslaugaproduk8,SIS063_F_Teisinespaslau1Paslaugaproduk8,SIS065_F_Teisinespaslau1Paslaugaproduk8)</f>
        <v>0</v>
      </c>
      <c r="Z148" s="84">
        <f>SIS064_F_Teisinespaslau1Elektrosenergi6</f>
        <v>0</v>
      </c>
      <c r="AA148" s="84">
        <f>SUM(SIS062_F_Teisinespaslau1Konkurencinesi1,SIS063_F_Teisinespaslau1Konkurencinesi1,SIS065_F_Teisinespaslau1Konkurencinesi1,)</f>
        <v>0</v>
      </c>
      <c r="AB148" s="84">
        <f>SUM(SIS062_F_Teisinespaslau1Paslaugaproduk9,SIS063_F_Teisinespaslau1Paslaugaproduk9,SIS065_F_Teisinespaslau1Paslaugaproduk9)</f>
        <v>4.7434896125336738</v>
      </c>
      <c r="AC148" s="85">
        <v>433.90262571697656</v>
      </c>
      <c r="AD148" s="86">
        <v>0</v>
      </c>
      <c r="AE148" s="86">
        <v>0</v>
      </c>
      <c r="AF148" s="86">
        <v>0</v>
      </c>
      <c r="AG148" s="87">
        <v>0</v>
      </c>
      <c r="AH148" s="87">
        <v>132.88049454275173</v>
      </c>
      <c r="AI148" s="87">
        <v>0</v>
      </c>
      <c r="AJ148" s="87">
        <v>0</v>
      </c>
      <c r="AK148" s="87">
        <v>56.609701557777697</v>
      </c>
      <c r="AL148" s="87">
        <v>17.028506347292797</v>
      </c>
      <c r="AM148" s="87">
        <v>0</v>
      </c>
      <c r="AN148" s="87">
        <v>13.973269970744289</v>
      </c>
      <c r="AO148" s="87">
        <v>0</v>
      </c>
      <c r="AP148" s="87">
        <v>0</v>
      </c>
      <c r="AQ148" s="87">
        <v>50.581912251923264</v>
      </c>
      <c r="AR148" s="87">
        <v>0</v>
      </c>
      <c r="AS148" s="87">
        <v>0</v>
      </c>
      <c r="AT148" s="87">
        <v>0</v>
      </c>
      <c r="AU148" s="88">
        <v>0</v>
      </c>
      <c r="AV148" s="85">
        <v>0</v>
      </c>
      <c r="AW148" s="86">
        <v>0</v>
      </c>
      <c r="AX148" s="86">
        <v>0</v>
      </c>
      <c r="AY148" s="86">
        <v>0</v>
      </c>
      <c r="AZ148" s="87"/>
      <c r="BA148" s="87"/>
      <c r="BB148" s="87"/>
      <c r="BC148" s="87"/>
      <c r="BD148" s="87"/>
      <c r="BE148" s="87"/>
      <c r="BF148" s="87"/>
      <c r="BG148" s="87"/>
      <c r="BH148" s="87"/>
      <c r="BI148" s="87"/>
      <c r="BJ148" s="87"/>
      <c r="BK148" s="87"/>
      <c r="BL148" s="87"/>
      <c r="BM148" s="87"/>
      <c r="BN148" s="88"/>
      <c r="BO148" s="85"/>
      <c r="BP148" s="86"/>
      <c r="BQ148" s="86"/>
      <c r="BR148" s="86"/>
      <c r="BS148" s="87"/>
      <c r="BT148" s="87"/>
      <c r="BU148" s="87"/>
      <c r="BV148" s="87"/>
      <c r="BW148" s="87"/>
      <c r="BX148" s="87"/>
      <c r="BY148" s="87"/>
      <c r="BZ148" s="87"/>
      <c r="CA148" s="87"/>
      <c r="CB148" s="87"/>
      <c r="CC148" s="87"/>
      <c r="CD148" s="87"/>
      <c r="CE148" s="87"/>
      <c r="CF148" s="87"/>
      <c r="CG148" s="88"/>
      <c r="CH148" s="85"/>
      <c r="CI148" s="86"/>
      <c r="CJ148" s="86"/>
      <c r="CK148" s="86"/>
      <c r="CL148" s="87"/>
      <c r="CM148" s="87"/>
      <c r="CN148" s="87"/>
      <c r="CO148" s="87"/>
      <c r="CP148" s="87"/>
      <c r="CQ148" s="87"/>
      <c r="CR148" s="87"/>
      <c r="CS148" s="87"/>
      <c r="CT148" s="87"/>
      <c r="CU148" s="87"/>
      <c r="CV148" s="87"/>
      <c r="CW148" s="87"/>
      <c r="CX148" s="87"/>
      <c r="CY148" s="87"/>
      <c r="CZ148" s="88"/>
      <c r="DA148" s="85"/>
      <c r="DB148" s="86"/>
      <c r="DC148" s="86"/>
      <c r="DD148" s="86"/>
      <c r="DE148" s="87"/>
      <c r="DF148" s="87"/>
      <c r="DG148" s="87"/>
      <c r="DH148" s="87"/>
      <c r="DI148" s="87"/>
      <c r="DJ148" s="87"/>
      <c r="DK148" s="87"/>
      <c r="DL148" s="87"/>
      <c r="DM148" s="87"/>
      <c r="DN148" s="87"/>
      <c r="DO148" s="87"/>
      <c r="DP148" s="87"/>
      <c r="DQ148" s="87"/>
      <c r="DR148" s="87"/>
      <c r="DS148" s="88"/>
      <c r="DT148" s="85"/>
      <c r="DU148" s="86"/>
      <c r="DV148" s="86"/>
      <c r="DW148" s="86"/>
      <c r="DX148" s="87"/>
      <c r="DY148" s="87"/>
      <c r="DZ148" s="87"/>
      <c r="EA148" s="87"/>
      <c r="EB148" s="87"/>
      <c r="EC148" s="87"/>
      <c r="ED148" s="87"/>
      <c r="EE148" s="87"/>
      <c r="EF148" s="87"/>
      <c r="EG148" s="87"/>
      <c r="EH148" s="87"/>
      <c r="EI148" s="87"/>
      <c r="EJ148" s="87"/>
      <c r="EK148" s="87"/>
      <c r="EL148" s="88"/>
      <c r="EM148" s="85"/>
      <c r="EN148" s="86"/>
      <c r="EO148" s="86"/>
      <c r="EP148" s="86"/>
      <c r="EQ148" s="87"/>
      <c r="ER148" s="87"/>
      <c r="ES148" s="87"/>
      <c r="ET148" s="87"/>
      <c r="EU148" s="87"/>
      <c r="EV148" s="87"/>
      <c r="EW148" s="87"/>
      <c r="EX148" s="87"/>
      <c r="EY148" s="87"/>
      <c r="EZ148" s="87"/>
      <c r="FA148" s="87"/>
      <c r="FB148" s="87"/>
      <c r="FC148" s="87"/>
      <c r="FD148" s="87"/>
      <c r="FE148" s="89"/>
    </row>
    <row r="149" spans="2:161" s="6" customFormat="1" ht="13.2">
      <c r="B149" s="108" t="s">
        <v>269</v>
      </c>
      <c r="C149" s="110" t="s">
        <v>270</v>
      </c>
      <c r="D149" s="81">
        <f t="shared" si="71"/>
        <v>20581.679999999997</v>
      </c>
      <c r="E149" s="82">
        <f t="shared" si="72"/>
        <v>13578.047254336851</v>
      </c>
      <c r="F149" s="83">
        <f t="shared" si="72"/>
        <v>0</v>
      </c>
      <c r="G149" s="83">
        <f t="shared" si="72"/>
        <v>0</v>
      </c>
      <c r="H149" s="83">
        <f t="shared" si="72"/>
        <v>0</v>
      </c>
      <c r="I149" s="84">
        <f t="shared" si="72"/>
        <v>0</v>
      </c>
      <c r="J149" s="84">
        <f t="shared" si="72"/>
        <v>3882.5881410810357</v>
      </c>
      <c r="K149" s="84">
        <f t="shared" si="72"/>
        <v>0</v>
      </c>
      <c r="L149" s="84">
        <f t="shared" si="72"/>
        <v>0</v>
      </c>
      <c r="M149" s="84">
        <f t="shared" si="72"/>
        <v>598.68133811710538</v>
      </c>
      <c r="N149" s="84">
        <f t="shared" si="72"/>
        <v>497.54990024552512</v>
      </c>
      <c r="O149" s="84">
        <f t="shared" si="72"/>
        <v>0</v>
      </c>
      <c r="P149" s="84">
        <f t="shared" si="72"/>
        <v>408.28002986609033</v>
      </c>
      <c r="Q149" s="84">
        <f t="shared" si="72"/>
        <v>0</v>
      </c>
      <c r="R149" s="84">
        <f t="shared" si="72"/>
        <v>0</v>
      </c>
      <c r="S149" s="84">
        <f t="shared" si="72"/>
        <v>1477.9349921770086</v>
      </c>
      <c r="T149" s="84">
        <f t="shared" si="72"/>
        <v>0</v>
      </c>
      <c r="U149" s="84">
        <f t="shared" si="73"/>
        <v>0</v>
      </c>
      <c r="V149" s="84">
        <f t="shared" si="73"/>
        <v>0</v>
      </c>
      <c r="W149" s="84">
        <f>SIS064_F_Konsultacinesp1Elektrosenergi5</f>
        <v>0</v>
      </c>
      <c r="X149" s="84">
        <f>SUM(SIS062_F_Konsultacinesp1Geriamojovande1,SIS063_F_Konsultacinesp1Geriamojovande1,SIS065_F_Konsultacinesp1Geriamojovande1)</f>
        <v>0</v>
      </c>
      <c r="Y149" s="84">
        <f>SUM(SIS062_F_Konsultacinesp1Paslaugaproduk8,SIS063_F_Konsultacinesp1Paslaugaproduk8,SIS065_F_Konsultacinesp1Paslaugaproduk8)</f>
        <v>0</v>
      </c>
      <c r="Z149" s="84">
        <f>SIS064_F_Konsultacinesp1Elektrosenergi6</f>
        <v>0</v>
      </c>
      <c r="AA149" s="84">
        <f>SUM(SIS062_F_Konsultacinesp1Konkurencinesi1,SIS063_F_Konsultacinesp1Konkurencinesi1,SIS065_F_Konsultacinesp1Konkurencinesi1,)</f>
        <v>0</v>
      </c>
      <c r="AB149" s="84">
        <f>SUM(SIS062_F_Konsultacinesp1Paslaugaproduk9,SIS063_F_Konsultacinesp1Paslaugaproduk9,SIS065_F_Konsultacinesp1Paslaugaproduk9)</f>
        <v>138.59834417638325</v>
      </c>
      <c r="AC149" s="85">
        <v>13578.047254336851</v>
      </c>
      <c r="AD149" s="86">
        <v>0</v>
      </c>
      <c r="AE149" s="86">
        <v>0</v>
      </c>
      <c r="AF149" s="86">
        <v>0</v>
      </c>
      <c r="AG149" s="87">
        <v>0</v>
      </c>
      <c r="AH149" s="87">
        <v>3882.5881410810357</v>
      </c>
      <c r="AI149" s="87">
        <v>0</v>
      </c>
      <c r="AJ149" s="87">
        <v>0</v>
      </c>
      <c r="AK149" s="87">
        <v>598.68133811710538</v>
      </c>
      <c r="AL149" s="87">
        <v>497.54990024552512</v>
      </c>
      <c r="AM149" s="87">
        <v>0</v>
      </c>
      <c r="AN149" s="87">
        <v>408.28002986609033</v>
      </c>
      <c r="AO149" s="87">
        <v>0</v>
      </c>
      <c r="AP149" s="87">
        <v>0</v>
      </c>
      <c r="AQ149" s="87">
        <v>1477.9349921770086</v>
      </c>
      <c r="AR149" s="87">
        <v>0</v>
      </c>
      <c r="AS149" s="87">
        <v>0</v>
      </c>
      <c r="AT149" s="87">
        <v>0</v>
      </c>
      <c r="AU149" s="88">
        <v>0</v>
      </c>
      <c r="AV149" s="85">
        <v>0</v>
      </c>
      <c r="AW149" s="86">
        <v>0</v>
      </c>
      <c r="AX149" s="86">
        <v>0</v>
      </c>
      <c r="AY149" s="86">
        <v>0</v>
      </c>
      <c r="AZ149" s="87"/>
      <c r="BA149" s="87"/>
      <c r="BB149" s="87"/>
      <c r="BC149" s="87"/>
      <c r="BD149" s="87"/>
      <c r="BE149" s="87"/>
      <c r="BF149" s="87"/>
      <c r="BG149" s="87"/>
      <c r="BH149" s="87"/>
      <c r="BI149" s="87"/>
      <c r="BJ149" s="87"/>
      <c r="BK149" s="87"/>
      <c r="BL149" s="87"/>
      <c r="BM149" s="87"/>
      <c r="BN149" s="88"/>
      <c r="BO149" s="85"/>
      <c r="BP149" s="86"/>
      <c r="BQ149" s="86"/>
      <c r="BR149" s="86"/>
      <c r="BS149" s="87"/>
      <c r="BT149" s="87"/>
      <c r="BU149" s="87"/>
      <c r="BV149" s="87"/>
      <c r="BW149" s="87"/>
      <c r="BX149" s="87"/>
      <c r="BY149" s="87"/>
      <c r="BZ149" s="87"/>
      <c r="CA149" s="87"/>
      <c r="CB149" s="87"/>
      <c r="CC149" s="87"/>
      <c r="CD149" s="87"/>
      <c r="CE149" s="87"/>
      <c r="CF149" s="87"/>
      <c r="CG149" s="88"/>
      <c r="CH149" s="85"/>
      <c r="CI149" s="86"/>
      <c r="CJ149" s="86"/>
      <c r="CK149" s="86"/>
      <c r="CL149" s="87"/>
      <c r="CM149" s="87"/>
      <c r="CN149" s="87"/>
      <c r="CO149" s="87"/>
      <c r="CP149" s="87"/>
      <c r="CQ149" s="87"/>
      <c r="CR149" s="87"/>
      <c r="CS149" s="87"/>
      <c r="CT149" s="87"/>
      <c r="CU149" s="87"/>
      <c r="CV149" s="87"/>
      <c r="CW149" s="87"/>
      <c r="CX149" s="87"/>
      <c r="CY149" s="87"/>
      <c r="CZ149" s="88"/>
      <c r="DA149" s="85"/>
      <c r="DB149" s="86"/>
      <c r="DC149" s="86"/>
      <c r="DD149" s="86"/>
      <c r="DE149" s="87"/>
      <c r="DF149" s="87"/>
      <c r="DG149" s="87"/>
      <c r="DH149" s="87"/>
      <c r="DI149" s="87"/>
      <c r="DJ149" s="87"/>
      <c r="DK149" s="87"/>
      <c r="DL149" s="87"/>
      <c r="DM149" s="87"/>
      <c r="DN149" s="87"/>
      <c r="DO149" s="87"/>
      <c r="DP149" s="87"/>
      <c r="DQ149" s="87"/>
      <c r="DR149" s="87"/>
      <c r="DS149" s="88"/>
      <c r="DT149" s="85"/>
      <c r="DU149" s="86"/>
      <c r="DV149" s="86"/>
      <c r="DW149" s="86"/>
      <c r="DX149" s="87"/>
      <c r="DY149" s="87"/>
      <c r="DZ149" s="87"/>
      <c r="EA149" s="87"/>
      <c r="EB149" s="87"/>
      <c r="EC149" s="87"/>
      <c r="ED149" s="87"/>
      <c r="EE149" s="87"/>
      <c r="EF149" s="87"/>
      <c r="EG149" s="87"/>
      <c r="EH149" s="87"/>
      <c r="EI149" s="87"/>
      <c r="EJ149" s="87"/>
      <c r="EK149" s="87"/>
      <c r="EL149" s="88"/>
      <c r="EM149" s="85"/>
      <c r="EN149" s="86"/>
      <c r="EO149" s="86"/>
      <c r="EP149" s="86"/>
      <c r="EQ149" s="87"/>
      <c r="ER149" s="87"/>
      <c r="ES149" s="87"/>
      <c r="ET149" s="87"/>
      <c r="EU149" s="87"/>
      <c r="EV149" s="87"/>
      <c r="EW149" s="87"/>
      <c r="EX149" s="87"/>
      <c r="EY149" s="87"/>
      <c r="EZ149" s="87"/>
      <c r="FA149" s="87"/>
      <c r="FB149" s="87"/>
      <c r="FC149" s="87"/>
      <c r="FD149" s="87"/>
      <c r="FE149" s="89"/>
    </row>
    <row r="150" spans="2:161" s="6" customFormat="1" ht="13.2">
      <c r="B150" s="108" t="s">
        <v>271</v>
      </c>
      <c r="C150" s="110" t="s">
        <v>272</v>
      </c>
      <c r="D150" s="81">
        <f t="shared" si="71"/>
        <v>6657.26</v>
      </c>
      <c r="E150" s="82">
        <f t="shared" si="72"/>
        <v>4029.2190381547225</v>
      </c>
      <c r="F150" s="83">
        <f t="shared" si="72"/>
        <v>0</v>
      </c>
      <c r="G150" s="83">
        <f t="shared" si="72"/>
        <v>0</v>
      </c>
      <c r="H150" s="83">
        <f t="shared" si="72"/>
        <v>0</v>
      </c>
      <c r="I150" s="84">
        <f t="shared" si="72"/>
        <v>0</v>
      </c>
      <c r="J150" s="84">
        <f t="shared" si="72"/>
        <v>749.35051095603853</v>
      </c>
      <c r="K150" s="84">
        <f t="shared" si="72"/>
        <v>0</v>
      </c>
      <c r="L150" s="84">
        <f t="shared" si="72"/>
        <v>0</v>
      </c>
      <c r="M150" s="84">
        <f t="shared" si="72"/>
        <v>409.06719437560201</v>
      </c>
      <c r="N150" s="84">
        <f t="shared" si="72"/>
        <v>96.028540351771625</v>
      </c>
      <c r="O150" s="84">
        <f t="shared" si="72"/>
        <v>0</v>
      </c>
      <c r="P150" s="84">
        <f t="shared" si="72"/>
        <v>78.799202458831147</v>
      </c>
      <c r="Q150" s="84">
        <f t="shared" si="72"/>
        <v>0</v>
      </c>
      <c r="R150" s="84">
        <f t="shared" si="72"/>
        <v>0</v>
      </c>
      <c r="S150" s="84">
        <f t="shared" si="72"/>
        <v>1268.045640615203</v>
      </c>
      <c r="T150" s="84">
        <f t="shared" si="72"/>
        <v>0</v>
      </c>
      <c r="U150" s="84">
        <f t="shared" si="73"/>
        <v>0</v>
      </c>
      <c r="V150" s="84">
        <f t="shared" si="73"/>
        <v>0</v>
      </c>
      <c r="W150" s="84">
        <f>SIS064_F_Rysiupaslaugos1Elektrosenergi5</f>
        <v>0</v>
      </c>
      <c r="X150" s="84">
        <f>SUM(SIS062_F_Rysiupaslaugos1Geriamojovande1,SIS063_F_Rysiupaslaugos1Geriamojovande1,SIS065_F_Rysiupaslaugos1Geriamojovande1)</f>
        <v>0</v>
      </c>
      <c r="Y150" s="84">
        <f>SUM(SIS062_F_Rysiupaslaugos1Paslaugaproduk8,SIS063_F_Rysiupaslaugos1Paslaugaproduk8,SIS065_F_Rysiupaslaugos1Paslaugaproduk8)</f>
        <v>0</v>
      </c>
      <c r="Z150" s="84">
        <f>SIS064_F_Rysiupaslaugos1Elektrosenergi6</f>
        <v>0</v>
      </c>
      <c r="AA150" s="84">
        <f>SUM(SIS062_F_Rysiupaslaugos1Konkurencinesi1,SIS063_F_Rysiupaslaugos1Konkurencinesi1,SIS065_F_Rysiupaslaugos1Konkurencinesi1,)</f>
        <v>0</v>
      </c>
      <c r="AB150" s="84">
        <f>SUM(SIS062_F_Rysiupaslaugos1Paslaugaproduk9,SIS063_F_Rysiupaslaugos1Paslaugaproduk9,SIS065_F_Rysiupaslaugos1Paslaugaproduk9)</f>
        <v>26.749873087830558</v>
      </c>
      <c r="AC150" s="85">
        <v>4029.2190381547225</v>
      </c>
      <c r="AD150" s="86">
        <v>0</v>
      </c>
      <c r="AE150" s="86">
        <v>0</v>
      </c>
      <c r="AF150" s="86">
        <v>0</v>
      </c>
      <c r="AG150" s="87">
        <v>0</v>
      </c>
      <c r="AH150" s="87">
        <v>749.35051095603853</v>
      </c>
      <c r="AI150" s="87">
        <v>0</v>
      </c>
      <c r="AJ150" s="87">
        <v>0</v>
      </c>
      <c r="AK150" s="87">
        <v>409.06719437560201</v>
      </c>
      <c r="AL150" s="87">
        <v>96.028540351771625</v>
      </c>
      <c r="AM150" s="87">
        <v>0</v>
      </c>
      <c r="AN150" s="87">
        <v>78.799202458831147</v>
      </c>
      <c r="AO150" s="87">
        <v>0</v>
      </c>
      <c r="AP150" s="87">
        <v>0</v>
      </c>
      <c r="AQ150" s="87">
        <v>1268.045640615203</v>
      </c>
      <c r="AR150" s="87">
        <v>0</v>
      </c>
      <c r="AS150" s="87">
        <v>0</v>
      </c>
      <c r="AT150" s="87">
        <v>0</v>
      </c>
      <c r="AU150" s="88">
        <v>0</v>
      </c>
      <c r="AV150" s="85">
        <v>0</v>
      </c>
      <c r="AW150" s="86">
        <v>0</v>
      </c>
      <c r="AX150" s="86">
        <v>0</v>
      </c>
      <c r="AY150" s="86">
        <v>0</v>
      </c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8"/>
      <c r="BO150" s="85"/>
      <c r="BP150" s="86"/>
      <c r="BQ150" s="86"/>
      <c r="BR150" s="86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8"/>
      <c r="CH150" s="85"/>
      <c r="CI150" s="86"/>
      <c r="CJ150" s="86"/>
      <c r="CK150" s="86"/>
      <c r="CL150" s="87"/>
      <c r="CM150" s="87"/>
      <c r="CN150" s="87"/>
      <c r="CO150" s="87"/>
      <c r="CP150" s="87"/>
      <c r="CQ150" s="87"/>
      <c r="CR150" s="87"/>
      <c r="CS150" s="87"/>
      <c r="CT150" s="87"/>
      <c r="CU150" s="87"/>
      <c r="CV150" s="87"/>
      <c r="CW150" s="87"/>
      <c r="CX150" s="87"/>
      <c r="CY150" s="87"/>
      <c r="CZ150" s="88"/>
      <c r="DA150" s="85"/>
      <c r="DB150" s="86"/>
      <c r="DC150" s="86"/>
      <c r="DD150" s="86"/>
      <c r="DE150" s="87"/>
      <c r="DF150" s="87"/>
      <c r="DG150" s="87"/>
      <c r="DH150" s="87"/>
      <c r="DI150" s="87"/>
      <c r="DJ150" s="87"/>
      <c r="DK150" s="87"/>
      <c r="DL150" s="87"/>
      <c r="DM150" s="87"/>
      <c r="DN150" s="87"/>
      <c r="DO150" s="87"/>
      <c r="DP150" s="87"/>
      <c r="DQ150" s="87"/>
      <c r="DR150" s="87"/>
      <c r="DS150" s="88"/>
      <c r="DT150" s="85"/>
      <c r="DU150" s="86"/>
      <c r="DV150" s="86"/>
      <c r="DW150" s="86"/>
      <c r="DX150" s="87"/>
      <c r="DY150" s="87"/>
      <c r="DZ150" s="87"/>
      <c r="EA150" s="87"/>
      <c r="EB150" s="87"/>
      <c r="EC150" s="87"/>
      <c r="ED150" s="87"/>
      <c r="EE150" s="87"/>
      <c r="EF150" s="87"/>
      <c r="EG150" s="87"/>
      <c r="EH150" s="87"/>
      <c r="EI150" s="87"/>
      <c r="EJ150" s="87"/>
      <c r="EK150" s="87"/>
      <c r="EL150" s="88"/>
      <c r="EM150" s="85"/>
      <c r="EN150" s="86"/>
      <c r="EO150" s="86"/>
      <c r="EP150" s="86"/>
      <c r="EQ150" s="87"/>
      <c r="ER150" s="87"/>
      <c r="ES150" s="87"/>
      <c r="ET150" s="87"/>
      <c r="EU150" s="87"/>
      <c r="EV150" s="87"/>
      <c r="EW150" s="87"/>
      <c r="EX150" s="87"/>
      <c r="EY150" s="87"/>
      <c r="EZ150" s="87"/>
      <c r="FA150" s="87"/>
      <c r="FB150" s="87"/>
      <c r="FC150" s="87"/>
      <c r="FD150" s="87"/>
      <c r="FE150" s="89"/>
    </row>
    <row r="151" spans="2:161" s="6" customFormat="1" ht="13.2">
      <c r="B151" s="108" t="s">
        <v>273</v>
      </c>
      <c r="C151" s="110" t="s">
        <v>274</v>
      </c>
      <c r="D151" s="81">
        <f t="shared" si="71"/>
        <v>251.59999999999997</v>
      </c>
      <c r="E151" s="82">
        <f t="shared" si="72"/>
        <v>162.06932991447638</v>
      </c>
      <c r="F151" s="83">
        <f t="shared" si="72"/>
        <v>0</v>
      </c>
      <c r="G151" s="83">
        <f t="shared" si="72"/>
        <v>0</v>
      </c>
      <c r="H151" s="83">
        <f t="shared" si="72"/>
        <v>0</v>
      </c>
      <c r="I151" s="84">
        <f t="shared" si="72"/>
        <v>0</v>
      </c>
      <c r="J151" s="84">
        <f t="shared" si="72"/>
        <v>49.632916310802159</v>
      </c>
      <c r="K151" s="84">
        <f t="shared" si="72"/>
        <v>0</v>
      </c>
      <c r="L151" s="84">
        <f t="shared" si="72"/>
        <v>0</v>
      </c>
      <c r="M151" s="84">
        <f t="shared" si="72"/>
        <v>7.6532198811414327</v>
      </c>
      <c r="N151" s="84">
        <f t="shared" si="72"/>
        <v>6.3604100311443998</v>
      </c>
      <c r="O151" s="84">
        <f t="shared" si="72"/>
        <v>0</v>
      </c>
      <c r="P151" s="84">
        <f t="shared" si="72"/>
        <v>5.2192320733955802</v>
      </c>
      <c r="Q151" s="84">
        <f t="shared" si="72"/>
        <v>0</v>
      </c>
      <c r="R151" s="84">
        <f t="shared" si="72"/>
        <v>0</v>
      </c>
      <c r="S151" s="84">
        <f t="shared" si="72"/>
        <v>18.893125181983212</v>
      </c>
      <c r="T151" s="84">
        <f t="shared" si="72"/>
        <v>0</v>
      </c>
      <c r="U151" s="84">
        <f t="shared" si="73"/>
        <v>0</v>
      </c>
      <c r="V151" s="84">
        <f t="shared" si="73"/>
        <v>0</v>
      </c>
      <c r="W151" s="84">
        <f>SIS064_F_Pastopasiuntin1Elektrosenergi5</f>
        <v>0</v>
      </c>
      <c r="X151" s="84">
        <f>SUM(SIS062_F_Pastopasiuntin1Geriamojovande1,SIS063_F_Pastopasiuntin1Geriamojovande1,SIS065_F_Pastopasiuntin1Geriamojovande1)</f>
        <v>0</v>
      </c>
      <c r="Y151" s="84">
        <f>SUM(SIS062_F_Pastopasiuntin1Paslaugaproduk8,SIS063_F_Pastopasiuntin1Paslaugaproduk8,SIS065_F_Pastopasiuntin1Paslaugaproduk8)</f>
        <v>0</v>
      </c>
      <c r="Z151" s="84">
        <f>SIS064_F_Pastopasiuntin1Elektrosenergi6</f>
        <v>0</v>
      </c>
      <c r="AA151" s="84">
        <f>SUM(SIS062_F_Pastopasiuntin1Konkurencinesi1,SIS063_F_Pastopasiuntin1Konkurencinesi1,SIS065_F_Pastopasiuntin1Konkurencinesi1,)</f>
        <v>0</v>
      </c>
      <c r="AB151" s="84">
        <f>SUM(SIS062_F_Pastopasiuntin1Paslaugaproduk9,SIS063_F_Pastopasiuntin1Paslaugaproduk9,SIS065_F_Pastopasiuntin1Paslaugaproduk9)</f>
        <v>1.7717666070568177</v>
      </c>
      <c r="AC151" s="85">
        <v>162.06932991447638</v>
      </c>
      <c r="AD151" s="86">
        <v>0</v>
      </c>
      <c r="AE151" s="86">
        <v>0</v>
      </c>
      <c r="AF151" s="86">
        <v>0</v>
      </c>
      <c r="AG151" s="87">
        <v>0</v>
      </c>
      <c r="AH151" s="87">
        <v>49.632916310802159</v>
      </c>
      <c r="AI151" s="87">
        <v>0</v>
      </c>
      <c r="AJ151" s="87">
        <v>0</v>
      </c>
      <c r="AK151" s="87">
        <v>7.6532198811414327</v>
      </c>
      <c r="AL151" s="87">
        <v>6.3604100311443998</v>
      </c>
      <c r="AM151" s="87">
        <v>0</v>
      </c>
      <c r="AN151" s="87">
        <v>5.2192320733955802</v>
      </c>
      <c r="AO151" s="87">
        <v>0</v>
      </c>
      <c r="AP151" s="87">
        <v>0</v>
      </c>
      <c r="AQ151" s="87">
        <v>18.893125181983212</v>
      </c>
      <c r="AR151" s="87">
        <v>0</v>
      </c>
      <c r="AS151" s="87">
        <v>0</v>
      </c>
      <c r="AT151" s="87">
        <v>0</v>
      </c>
      <c r="AU151" s="88">
        <v>0</v>
      </c>
      <c r="AV151" s="85">
        <v>0</v>
      </c>
      <c r="AW151" s="86">
        <v>0</v>
      </c>
      <c r="AX151" s="86">
        <v>0</v>
      </c>
      <c r="AY151" s="86">
        <v>0</v>
      </c>
      <c r="AZ151" s="87"/>
      <c r="BA151" s="87"/>
      <c r="BB151" s="87"/>
      <c r="BC151" s="87"/>
      <c r="BD151" s="87"/>
      <c r="BE151" s="87"/>
      <c r="BF151" s="87"/>
      <c r="BG151" s="87"/>
      <c r="BH151" s="87"/>
      <c r="BI151" s="87"/>
      <c r="BJ151" s="87"/>
      <c r="BK151" s="87"/>
      <c r="BL151" s="87"/>
      <c r="BM151" s="87"/>
      <c r="BN151" s="88"/>
      <c r="BO151" s="85"/>
      <c r="BP151" s="86"/>
      <c r="BQ151" s="86"/>
      <c r="BR151" s="86"/>
      <c r="BS151" s="87"/>
      <c r="BT151" s="87"/>
      <c r="BU151" s="87"/>
      <c r="BV151" s="87"/>
      <c r="BW151" s="87"/>
      <c r="BX151" s="87"/>
      <c r="BY151" s="87"/>
      <c r="BZ151" s="87"/>
      <c r="CA151" s="87"/>
      <c r="CB151" s="87"/>
      <c r="CC151" s="87"/>
      <c r="CD151" s="87"/>
      <c r="CE151" s="87"/>
      <c r="CF151" s="87"/>
      <c r="CG151" s="88"/>
      <c r="CH151" s="85"/>
      <c r="CI151" s="86"/>
      <c r="CJ151" s="86"/>
      <c r="CK151" s="86"/>
      <c r="CL151" s="87"/>
      <c r="CM151" s="87"/>
      <c r="CN151" s="87"/>
      <c r="CO151" s="87"/>
      <c r="CP151" s="87"/>
      <c r="CQ151" s="87"/>
      <c r="CR151" s="87"/>
      <c r="CS151" s="87"/>
      <c r="CT151" s="87"/>
      <c r="CU151" s="87"/>
      <c r="CV151" s="87"/>
      <c r="CW151" s="87"/>
      <c r="CX151" s="87"/>
      <c r="CY151" s="87"/>
      <c r="CZ151" s="88"/>
      <c r="DA151" s="85"/>
      <c r="DB151" s="86"/>
      <c r="DC151" s="86"/>
      <c r="DD151" s="86"/>
      <c r="DE151" s="87"/>
      <c r="DF151" s="87"/>
      <c r="DG151" s="87"/>
      <c r="DH151" s="87"/>
      <c r="DI151" s="87"/>
      <c r="DJ151" s="87"/>
      <c r="DK151" s="87"/>
      <c r="DL151" s="87"/>
      <c r="DM151" s="87"/>
      <c r="DN151" s="87"/>
      <c r="DO151" s="87"/>
      <c r="DP151" s="87"/>
      <c r="DQ151" s="87"/>
      <c r="DR151" s="87"/>
      <c r="DS151" s="88"/>
      <c r="DT151" s="85"/>
      <c r="DU151" s="86"/>
      <c r="DV151" s="86"/>
      <c r="DW151" s="86"/>
      <c r="DX151" s="87"/>
      <c r="DY151" s="87"/>
      <c r="DZ151" s="87"/>
      <c r="EA151" s="87"/>
      <c r="EB151" s="87"/>
      <c r="EC151" s="87"/>
      <c r="ED151" s="87"/>
      <c r="EE151" s="87"/>
      <c r="EF151" s="87"/>
      <c r="EG151" s="87"/>
      <c r="EH151" s="87"/>
      <c r="EI151" s="87"/>
      <c r="EJ151" s="87"/>
      <c r="EK151" s="87"/>
      <c r="EL151" s="88"/>
      <c r="EM151" s="85"/>
      <c r="EN151" s="86"/>
      <c r="EO151" s="86"/>
      <c r="EP151" s="86"/>
      <c r="EQ151" s="87"/>
      <c r="ER151" s="87"/>
      <c r="ES151" s="87"/>
      <c r="ET151" s="87"/>
      <c r="EU151" s="87"/>
      <c r="EV151" s="87"/>
      <c r="EW151" s="87"/>
      <c r="EX151" s="87"/>
      <c r="EY151" s="87"/>
      <c r="EZ151" s="87"/>
      <c r="FA151" s="87"/>
      <c r="FB151" s="87"/>
      <c r="FC151" s="87"/>
      <c r="FD151" s="87"/>
      <c r="FE151" s="89"/>
    </row>
    <row r="152" spans="2:161" s="6" customFormat="1" ht="13.2">
      <c r="B152" s="108" t="s">
        <v>275</v>
      </c>
      <c r="C152" s="110" t="s">
        <v>276</v>
      </c>
      <c r="D152" s="81">
        <f t="shared" si="71"/>
        <v>1779.96</v>
      </c>
      <c r="E152" s="82">
        <f t="shared" si="72"/>
        <v>1146.5696521246875</v>
      </c>
      <c r="F152" s="83">
        <f t="shared" si="72"/>
        <v>0</v>
      </c>
      <c r="G152" s="83">
        <f t="shared" si="72"/>
        <v>0</v>
      </c>
      <c r="H152" s="83">
        <f t="shared" si="72"/>
        <v>0</v>
      </c>
      <c r="I152" s="84">
        <f t="shared" si="72"/>
        <v>0</v>
      </c>
      <c r="J152" s="84">
        <f t="shared" si="72"/>
        <v>351.13118329322498</v>
      </c>
      <c r="K152" s="84">
        <f t="shared" si="72"/>
        <v>0</v>
      </c>
      <c r="L152" s="84">
        <f t="shared" si="72"/>
        <v>0</v>
      </c>
      <c r="M152" s="84">
        <f t="shared" si="72"/>
        <v>54.143184656742868</v>
      </c>
      <c r="N152" s="84">
        <f t="shared" si="72"/>
        <v>44.997120186946688</v>
      </c>
      <c r="O152" s="84">
        <f t="shared" si="72"/>
        <v>0</v>
      </c>
      <c r="P152" s="84">
        <f t="shared" si="72"/>
        <v>36.923785061054041</v>
      </c>
      <c r="Q152" s="84">
        <f t="shared" si="72"/>
        <v>0</v>
      </c>
      <c r="R152" s="84">
        <f t="shared" si="72"/>
        <v>0</v>
      </c>
      <c r="S152" s="84">
        <f t="shared" si="72"/>
        <v>133.66060055215755</v>
      </c>
      <c r="T152" s="84">
        <f t="shared" si="72"/>
        <v>0</v>
      </c>
      <c r="U152" s="84">
        <f t="shared" si="73"/>
        <v>0</v>
      </c>
      <c r="V152" s="84">
        <f t="shared" si="73"/>
        <v>0</v>
      </c>
      <c r="W152" s="84">
        <f>SIS064_F_Kanceliariness1Elektrosenergi5</f>
        <v>0</v>
      </c>
      <c r="X152" s="84">
        <f>SUM(SIS062_F_Kanceliariness1Geriamojovande1,SIS063_F_Kanceliariness1Geriamojovande1,SIS065_F_Kanceliariness1Geriamojovande1)</f>
        <v>0</v>
      </c>
      <c r="Y152" s="84">
        <f>SUM(SIS062_F_Kanceliariness1Paslaugaproduk8,SIS063_F_Kanceliariness1Paslaugaproduk8,SIS065_F_Kanceliariness1Paslaugaproduk8)</f>
        <v>0</v>
      </c>
      <c r="Z152" s="84">
        <f>SIS064_F_Kanceliariness1Elektrosenergi6</f>
        <v>0</v>
      </c>
      <c r="AA152" s="84">
        <f>SUM(SIS062_F_Kanceliariness1Konkurencinesi1,SIS063_F_Kanceliariness1Konkurencinesi1,SIS065_F_Kanceliariness1Konkurencinesi1,)</f>
        <v>0</v>
      </c>
      <c r="AB152" s="84">
        <f>SUM(SIS062_F_Kanceliariness1Paslaugaproduk9,SIS063_F_Kanceliariness1Paslaugaproduk9,SIS065_F_Kanceliariness1Paslaugaproduk9)</f>
        <v>12.534474125186222</v>
      </c>
      <c r="AC152" s="85">
        <v>1146.5696521246875</v>
      </c>
      <c r="AD152" s="86">
        <v>0</v>
      </c>
      <c r="AE152" s="86">
        <v>0</v>
      </c>
      <c r="AF152" s="86">
        <v>0</v>
      </c>
      <c r="AG152" s="87">
        <v>0</v>
      </c>
      <c r="AH152" s="87">
        <v>351.13118329322498</v>
      </c>
      <c r="AI152" s="87">
        <v>0</v>
      </c>
      <c r="AJ152" s="87">
        <v>0</v>
      </c>
      <c r="AK152" s="87">
        <v>54.143184656742868</v>
      </c>
      <c r="AL152" s="87">
        <v>44.997120186946688</v>
      </c>
      <c r="AM152" s="87">
        <v>0</v>
      </c>
      <c r="AN152" s="87">
        <v>36.923785061054041</v>
      </c>
      <c r="AO152" s="87">
        <v>0</v>
      </c>
      <c r="AP152" s="87">
        <v>0</v>
      </c>
      <c r="AQ152" s="87">
        <v>133.66060055215755</v>
      </c>
      <c r="AR152" s="87">
        <v>0</v>
      </c>
      <c r="AS152" s="87">
        <v>0</v>
      </c>
      <c r="AT152" s="87">
        <v>0</v>
      </c>
      <c r="AU152" s="88">
        <v>0</v>
      </c>
      <c r="AV152" s="85">
        <v>0</v>
      </c>
      <c r="AW152" s="86">
        <v>0</v>
      </c>
      <c r="AX152" s="86">
        <v>0</v>
      </c>
      <c r="AY152" s="86">
        <v>0</v>
      </c>
      <c r="AZ152" s="87"/>
      <c r="BA152" s="87"/>
      <c r="BB152" s="87"/>
      <c r="BC152" s="87"/>
      <c r="BD152" s="87"/>
      <c r="BE152" s="87"/>
      <c r="BF152" s="87"/>
      <c r="BG152" s="87"/>
      <c r="BH152" s="87"/>
      <c r="BI152" s="87"/>
      <c r="BJ152" s="87"/>
      <c r="BK152" s="87"/>
      <c r="BL152" s="87"/>
      <c r="BM152" s="87"/>
      <c r="BN152" s="88"/>
      <c r="BO152" s="85"/>
      <c r="BP152" s="86"/>
      <c r="BQ152" s="86"/>
      <c r="BR152" s="86"/>
      <c r="BS152" s="87"/>
      <c r="BT152" s="87"/>
      <c r="BU152" s="87"/>
      <c r="BV152" s="87"/>
      <c r="BW152" s="87"/>
      <c r="BX152" s="87"/>
      <c r="BY152" s="87"/>
      <c r="BZ152" s="87"/>
      <c r="CA152" s="87"/>
      <c r="CB152" s="87"/>
      <c r="CC152" s="87"/>
      <c r="CD152" s="87"/>
      <c r="CE152" s="87"/>
      <c r="CF152" s="87"/>
      <c r="CG152" s="88"/>
      <c r="CH152" s="85"/>
      <c r="CI152" s="86"/>
      <c r="CJ152" s="86"/>
      <c r="CK152" s="86"/>
      <c r="CL152" s="87"/>
      <c r="CM152" s="87"/>
      <c r="CN152" s="87"/>
      <c r="CO152" s="87"/>
      <c r="CP152" s="87"/>
      <c r="CQ152" s="87"/>
      <c r="CR152" s="87"/>
      <c r="CS152" s="87"/>
      <c r="CT152" s="87"/>
      <c r="CU152" s="87"/>
      <c r="CV152" s="87"/>
      <c r="CW152" s="87"/>
      <c r="CX152" s="87"/>
      <c r="CY152" s="87"/>
      <c r="CZ152" s="88"/>
      <c r="DA152" s="85"/>
      <c r="DB152" s="86"/>
      <c r="DC152" s="86"/>
      <c r="DD152" s="86"/>
      <c r="DE152" s="87"/>
      <c r="DF152" s="87"/>
      <c r="DG152" s="87"/>
      <c r="DH152" s="87"/>
      <c r="DI152" s="87"/>
      <c r="DJ152" s="87"/>
      <c r="DK152" s="87"/>
      <c r="DL152" s="87"/>
      <c r="DM152" s="87"/>
      <c r="DN152" s="87"/>
      <c r="DO152" s="87"/>
      <c r="DP152" s="87"/>
      <c r="DQ152" s="87"/>
      <c r="DR152" s="87"/>
      <c r="DS152" s="88"/>
      <c r="DT152" s="85"/>
      <c r="DU152" s="86"/>
      <c r="DV152" s="86"/>
      <c r="DW152" s="86"/>
      <c r="DX152" s="87"/>
      <c r="DY152" s="87"/>
      <c r="DZ152" s="87"/>
      <c r="EA152" s="87"/>
      <c r="EB152" s="87"/>
      <c r="EC152" s="87"/>
      <c r="ED152" s="87"/>
      <c r="EE152" s="87"/>
      <c r="EF152" s="87"/>
      <c r="EG152" s="87"/>
      <c r="EH152" s="87"/>
      <c r="EI152" s="87"/>
      <c r="EJ152" s="87"/>
      <c r="EK152" s="87"/>
      <c r="EL152" s="88"/>
      <c r="EM152" s="85"/>
      <c r="EN152" s="86"/>
      <c r="EO152" s="86"/>
      <c r="EP152" s="86"/>
      <c r="EQ152" s="87"/>
      <c r="ER152" s="87"/>
      <c r="ES152" s="87"/>
      <c r="ET152" s="87"/>
      <c r="EU152" s="87"/>
      <c r="EV152" s="87"/>
      <c r="EW152" s="87"/>
      <c r="EX152" s="87"/>
      <c r="EY152" s="87"/>
      <c r="EZ152" s="87"/>
      <c r="FA152" s="87"/>
      <c r="FB152" s="87"/>
      <c r="FC152" s="87"/>
      <c r="FD152" s="87"/>
      <c r="FE152" s="89"/>
    </row>
    <row r="153" spans="2:161" s="6" customFormat="1" ht="13.2">
      <c r="B153" s="108" t="s">
        <v>277</v>
      </c>
      <c r="C153" s="110" t="s">
        <v>278</v>
      </c>
      <c r="D153" s="81">
        <f t="shared" si="71"/>
        <v>0</v>
      </c>
      <c r="E153" s="82">
        <f t="shared" si="72"/>
        <v>0</v>
      </c>
      <c r="F153" s="83">
        <f t="shared" si="72"/>
        <v>0</v>
      </c>
      <c r="G153" s="83">
        <f t="shared" si="72"/>
        <v>0</v>
      </c>
      <c r="H153" s="83">
        <f t="shared" si="72"/>
        <v>0</v>
      </c>
      <c r="I153" s="84">
        <f t="shared" si="72"/>
        <v>0</v>
      </c>
      <c r="J153" s="84">
        <f t="shared" si="72"/>
        <v>0</v>
      </c>
      <c r="K153" s="84">
        <f t="shared" si="72"/>
        <v>0</v>
      </c>
      <c r="L153" s="84">
        <f t="shared" si="72"/>
        <v>0</v>
      </c>
      <c r="M153" s="84">
        <f t="shared" si="72"/>
        <v>0</v>
      </c>
      <c r="N153" s="84">
        <f t="shared" si="72"/>
        <v>0</v>
      </c>
      <c r="O153" s="84">
        <f t="shared" si="72"/>
        <v>0</v>
      </c>
      <c r="P153" s="84">
        <f t="shared" si="72"/>
        <v>0</v>
      </c>
      <c r="Q153" s="84">
        <f t="shared" si="72"/>
        <v>0</v>
      </c>
      <c r="R153" s="84">
        <f t="shared" si="72"/>
        <v>0</v>
      </c>
      <c r="S153" s="84">
        <f t="shared" si="72"/>
        <v>0</v>
      </c>
      <c r="T153" s="84">
        <f t="shared" si="72"/>
        <v>0</v>
      </c>
      <c r="U153" s="84">
        <f t="shared" si="73"/>
        <v>0</v>
      </c>
      <c r="V153" s="84">
        <f t="shared" si="73"/>
        <v>0</v>
      </c>
      <c r="W153" s="84">
        <f>SIS064_F_Orginventoriau1Elektrosenergi5</f>
        <v>0</v>
      </c>
      <c r="X153" s="84">
        <f>SUM(SIS062_F_Orginventoriau1Geriamojovande1,SIS063_F_Orginventoriau1Geriamojovande1,SIS065_F_Orginventoriau1Geriamojovande1)</f>
        <v>0</v>
      </c>
      <c r="Y153" s="84">
        <f>SUM(SIS062_F_Orginventoriau1Paslaugaproduk8,SIS063_F_Orginventoriau1Paslaugaproduk8,SIS065_F_Orginventoriau1Paslaugaproduk8)</f>
        <v>0</v>
      </c>
      <c r="Z153" s="84">
        <f>SIS064_F_Orginventoriau1Elektrosenergi6</f>
        <v>0</v>
      </c>
      <c r="AA153" s="84">
        <f>SUM(SIS062_F_Orginventoriau1Konkurencinesi1,SIS063_F_Orginventoriau1Konkurencinesi1,SIS065_F_Orginventoriau1Konkurencinesi1,)</f>
        <v>0</v>
      </c>
      <c r="AB153" s="84">
        <f>SUM(SIS062_F_Orginventoriau1Paslaugaproduk9,SIS063_F_Orginventoriau1Paslaugaproduk9,SIS065_F_Orginventoriau1Paslaugaproduk9)</f>
        <v>0</v>
      </c>
      <c r="AC153" s="85">
        <v>0</v>
      </c>
      <c r="AD153" s="86">
        <v>0</v>
      </c>
      <c r="AE153" s="86">
        <v>0</v>
      </c>
      <c r="AF153" s="86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8">
        <v>0</v>
      </c>
      <c r="AV153" s="85">
        <v>0</v>
      </c>
      <c r="AW153" s="86">
        <v>0</v>
      </c>
      <c r="AX153" s="86">
        <v>0</v>
      </c>
      <c r="AY153" s="86">
        <v>0</v>
      </c>
      <c r="AZ153" s="87"/>
      <c r="BA153" s="87"/>
      <c r="BB153" s="87"/>
      <c r="BC153" s="87"/>
      <c r="BD153" s="87"/>
      <c r="BE153" s="87"/>
      <c r="BF153" s="87"/>
      <c r="BG153" s="87"/>
      <c r="BH153" s="87"/>
      <c r="BI153" s="87"/>
      <c r="BJ153" s="87"/>
      <c r="BK153" s="87"/>
      <c r="BL153" s="87"/>
      <c r="BM153" s="87"/>
      <c r="BN153" s="88"/>
      <c r="BO153" s="85"/>
      <c r="BP153" s="86"/>
      <c r="BQ153" s="86"/>
      <c r="BR153" s="86"/>
      <c r="BS153" s="87"/>
      <c r="BT153" s="87"/>
      <c r="BU153" s="87"/>
      <c r="BV153" s="87"/>
      <c r="BW153" s="87"/>
      <c r="BX153" s="87"/>
      <c r="BY153" s="87"/>
      <c r="BZ153" s="87"/>
      <c r="CA153" s="87"/>
      <c r="CB153" s="87"/>
      <c r="CC153" s="87"/>
      <c r="CD153" s="87"/>
      <c r="CE153" s="87"/>
      <c r="CF153" s="87"/>
      <c r="CG153" s="88"/>
      <c r="CH153" s="85"/>
      <c r="CI153" s="86"/>
      <c r="CJ153" s="86"/>
      <c r="CK153" s="86"/>
      <c r="CL153" s="87"/>
      <c r="CM153" s="87"/>
      <c r="CN153" s="87"/>
      <c r="CO153" s="87"/>
      <c r="CP153" s="87"/>
      <c r="CQ153" s="87"/>
      <c r="CR153" s="87"/>
      <c r="CS153" s="87"/>
      <c r="CT153" s="87"/>
      <c r="CU153" s="87"/>
      <c r="CV153" s="87"/>
      <c r="CW153" s="87"/>
      <c r="CX153" s="87"/>
      <c r="CY153" s="87"/>
      <c r="CZ153" s="88"/>
      <c r="DA153" s="85"/>
      <c r="DB153" s="86"/>
      <c r="DC153" s="86"/>
      <c r="DD153" s="86"/>
      <c r="DE153" s="87"/>
      <c r="DF153" s="87"/>
      <c r="DG153" s="87"/>
      <c r="DH153" s="87"/>
      <c r="DI153" s="87"/>
      <c r="DJ153" s="87"/>
      <c r="DK153" s="87"/>
      <c r="DL153" s="87"/>
      <c r="DM153" s="87"/>
      <c r="DN153" s="87"/>
      <c r="DO153" s="87"/>
      <c r="DP153" s="87"/>
      <c r="DQ153" s="87"/>
      <c r="DR153" s="87"/>
      <c r="DS153" s="88"/>
      <c r="DT153" s="85"/>
      <c r="DU153" s="86"/>
      <c r="DV153" s="86"/>
      <c r="DW153" s="86"/>
      <c r="DX153" s="87"/>
      <c r="DY153" s="87"/>
      <c r="DZ153" s="87"/>
      <c r="EA153" s="87"/>
      <c r="EB153" s="87"/>
      <c r="EC153" s="87"/>
      <c r="ED153" s="87"/>
      <c r="EE153" s="87"/>
      <c r="EF153" s="87"/>
      <c r="EG153" s="87"/>
      <c r="EH153" s="87"/>
      <c r="EI153" s="87"/>
      <c r="EJ153" s="87"/>
      <c r="EK153" s="87"/>
      <c r="EL153" s="88"/>
      <c r="EM153" s="85"/>
      <c r="EN153" s="86"/>
      <c r="EO153" s="86"/>
      <c r="EP153" s="86"/>
      <c r="EQ153" s="87"/>
      <c r="ER153" s="87"/>
      <c r="ES153" s="87"/>
      <c r="ET153" s="87"/>
      <c r="EU153" s="87"/>
      <c r="EV153" s="87"/>
      <c r="EW153" s="87"/>
      <c r="EX153" s="87"/>
      <c r="EY153" s="87"/>
      <c r="EZ153" s="87"/>
      <c r="FA153" s="87"/>
      <c r="FB153" s="87"/>
      <c r="FC153" s="87"/>
      <c r="FD153" s="87"/>
      <c r="FE153" s="89"/>
    </row>
    <row r="154" spans="2:161" s="6" customFormat="1" ht="13.2">
      <c r="B154" s="108" t="s">
        <v>279</v>
      </c>
      <c r="C154" s="110" t="s">
        <v>280</v>
      </c>
      <c r="D154" s="81">
        <f t="shared" si="71"/>
        <v>0</v>
      </c>
      <c r="E154" s="82">
        <f t="shared" si="72"/>
        <v>0</v>
      </c>
      <c r="F154" s="83">
        <f t="shared" si="72"/>
        <v>0</v>
      </c>
      <c r="G154" s="83">
        <f t="shared" si="72"/>
        <v>0</v>
      </c>
      <c r="H154" s="83">
        <f t="shared" si="72"/>
        <v>0</v>
      </c>
      <c r="I154" s="84">
        <f t="shared" si="72"/>
        <v>0</v>
      </c>
      <c r="J154" s="84">
        <f t="shared" si="72"/>
        <v>0</v>
      </c>
      <c r="K154" s="84">
        <f t="shared" si="72"/>
        <v>0</v>
      </c>
      <c r="L154" s="84">
        <f t="shared" si="72"/>
        <v>0</v>
      </c>
      <c r="M154" s="84">
        <f t="shared" si="72"/>
        <v>0</v>
      </c>
      <c r="N154" s="84">
        <f t="shared" si="72"/>
        <v>0</v>
      </c>
      <c r="O154" s="84">
        <f t="shared" si="72"/>
        <v>0</v>
      </c>
      <c r="P154" s="84">
        <f t="shared" si="72"/>
        <v>0</v>
      </c>
      <c r="Q154" s="84">
        <f t="shared" si="72"/>
        <v>0</v>
      </c>
      <c r="R154" s="84">
        <f t="shared" si="72"/>
        <v>0</v>
      </c>
      <c r="S154" s="84">
        <f t="shared" si="72"/>
        <v>0</v>
      </c>
      <c r="T154" s="84">
        <f t="shared" si="72"/>
        <v>0</v>
      </c>
      <c r="U154" s="84">
        <f t="shared" si="73"/>
        <v>0</v>
      </c>
      <c r="V154" s="84">
        <f t="shared" si="73"/>
        <v>0</v>
      </c>
      <c r="W154" s="84">
        <f>SIS064_F_Profesineliter1Elektrosenergi5</f>
        <v>0</v>
      </c>
      <c r="X154" s="84">
        <f>SUM(SIS062_F_Profesineliter1Geriamojovande1,SIS063_F_Profesineliter1Geriamojovande1,SIS065_F_Profesineliter1Geriamojovande1)</f>
        <v>0</v>
      </c>
      <c r="Y154" s="84">
        <f>SUM(SIS062_F_Profesineliter1Paslaugaproduk8,SIS063_F_Profesineliter1Paslaugaproduk8,SIS065_F_Profesineliter1Paslaugaproduk8)</f>
        <v>0</v>
      </c>
      <c r="Z154" s="84">
        <f>SIS064_F_Profesineliter1Elektrosenergi6</f>
        <v>0</v>
      </c>
      <c r="AA154" s="84">
        <f>SUM(SIS062_F_Profesineliter1Konkurencinesi1,SIS063_F_Profesineliter1Konkurencinesi1,SIS065_F_Profesineliter1Konkurencinesi1,)</f>
        <v>0</v>
      </c>
      <c r="AB154" s="84">
        <f>SUM(SIS062_F_Profesineliter1Paslaugaproduk9,SIS063_F_Profesineliter1Paslaugaproduk9,SIS065_F_Profesineliter1Paslaugaproduk9)</f>
        <v>0</v>
      </c>
      <c r="AC154" s="85">
        <v>0</v>
      </c>
      <c r="AD154" s="86">
        <v>0</v>
      </c>
      <c r="AE154" s="86">
        <v>0</v>
      </c>
      <c r="AF154" s="86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8">
        <v>0</v>
      </c>
      <c r="AV154" s="85">
        <v>0</v>
      </c>
      <c r="AW154" s="86">
        <v>0</v>
      </c>
      <c r="AX154" s="86">
        <v>0</v>
      </c>
      <c r="AY154" s="86">
        <v>0</v>
      </c>
      <c r="AZ154" s="87"/>
      <c r="BA154" s="87"/>
      <c r="BB154" s="87"/>
      <c r="BC154" s="87"/>
      <c r="BD154" s="87"/>
      <c r="BE154" s="87"/>
      <c r="BF154" s="87"/>
      <c r="BG154" s="87"/>
      <c r="BH154" s="87"/>
      <c r="BI154" s="87"/>
      <c r="BJ154" s="87"/>
      <c r="BK154" s="87"/>
      <c r="BL154" s="87"/>
      <c r="BM154" s="87"/>
      <c r="BN154" s="88"/>
      <c r="BO154" s="85"/>
      <c r="BP154" s="86"/>
      <c r="BQ154" s="86"/>
      <c r="BR154" s="86"/>
      <c r="BS154" s="87"/>
      <c r="BT154" s="87"/>
      <c r="BU154" s="87"/>
      <c r="BV154" s="87"/>
      <c r="BW154" s="87"/>
      <c r="BX154" s="87"/>
      <c r="BY154" s="87"/>
      <c r="BZ154" s="87"/>
      <c r="CA154" s="87"/>
      <c r="CB154" s="87"/>
      <c r="CC154" s="87"/>
      <c r="CD154" s="87"/>
      <c r="CE154" s="87"/>
      <c r="CF154" s="87"/>
      <c r="CG154" s="88"/>
      <c r="CH154" s="85"/>
      <c r="CI154" s="86"/>
      <c r="CJ154" s="86"/>
      <c r="CK154" s="86"/>
      <c r="CL154" s="87"/>
      <c r="CM154" s="87"/>
      <c r="CN154" s="87"/>
      <c r="CO154" s="87"/>
      <c r="CP154" s="87"/>
      <c r="CQ154" s="87"/>
      <c r="CR154" s="87"/>
      <c r="CS154" s="87"/>
      <c r="CT154" s="87"/>
      <c r="CU154" s="87"/>
      <c r="CV154" s="87"/>
      <c r="CW154" s="87"/>
      <c r="CX154" s="87"/>
      <c r="CY154" s="87"/>
      <c r="CZ154" s="88"/>
      <c r="DA154" s="85"/>
      <c r="DB154" s="86"/>
      <c r="DC154" s="86"/>
      <c r="DD154" s="86"/>
      <c r="DE154" s="87"/>
      <c r="DF154" s="87"/>
      <c r="DG154" s="87"/>
      <c r="DH154" s="87"/>
      <c r="DI154" s="87"/>
      <c r="DJ154" s="87"/>
      <c r="DK154" s="87"/>
      <c r="DL154" s="87"/>
      <c r="DM154" s="87"/>
      <c r="DN154" s="87"/>
      <c r="DO154" s="87"/>
      <c r="DP154" s="87"/>
      <c r="DQ154" s="87"/>
      <c r="DR154" s="87"/>
      <c r="DS154" s="88"/>
      <c r="DT154" s="85"/>
      <c r="DU154" s="86"/>
      <c r="DV154" s="86"/>
      <c r="DW154" s="86"/>
      <c r="DX154" s="87"/>
      <c r="DY154" s="87"/>
      <c r="DZ154" s="87"/>
      <c r="EA154" s="87"/>
      <c r="EB154" s="87"/>
      <c r="EC154" s="87"/>
      <c r="ED154" s="87"/>
      <c r="EE154" s="87"/>
      <c r="EF154" s="87"/>
      <c r="EG154" s="87"/>
      <c r="EH154" s="87"/>
      <c r="EI154" s="87"/>
      <c r="EJ154" s="87"/>
      <c r="EK154" s="87"/>
      <c r="EL154" s="88"/>
      <c r="EM154" s="85"/>
      <c r="EN154" s="86"/>
      <c r="EO154" s="86"/>
      <c r="EP154" s="86"/>
      <c r="EQ154" s="87"/>
      <c r="ER154" s="87"/>
      <c r="ES154" s="87"/>
      <c r="ET154" s="87"/>
      <c r="EU154" s="87"/>
      <c r="EV154" s="87"/>
      <c r="EW154" s="87"/>
      <c r="EX154" s="87"/>
      <c r="EY154" s="87"/>
      <c r="EZ154" s="87"/>
      <c r="FA154" s="87"/>
      <c r="FB154" s="87"/>
      <c r="FC154" s="87"/>
      <c r="FD154" s="87"/>
      <c r="FE154" s="89"/>
    </row>
    <row r="155" spans="2:161" s="6" customFormat="1" ht="13.2">
      <c r="B155" s="108" t="s">
        <v>281</v>
      </c>
      <c r="C155" s="110" t="s">
        <v>282</v>
      </c>
      <c r="D155" s="81">
        <f t="shared" si="71"/>
        <v>1436.8799999999999</v>
      </c>
      <c r="E155" s="82">
        <f t="shared" si="72"/>
        <v>925.57304756563133</v>
      </c>
      <c r="F155" s="83">
        <f t="shared" si="72"/>
        <v>0</v>
      </c>
      <c r="G155" s="83">
        <f t="shared" si="72"/>
        <v>0</v>
      </c>
      <c r="H155" s="83">
        <f t="shared" si="72"/>
        <v>0</v>
      </c>
      <c r="I155" s="84">
        <f t="shared" si="72"/>
        <v>0</v>
      </c>
      <c r="J155" s="84">
        <f t="shared" si="72"/>
        <v>283.45208580550639</v>
      </c>
      <c r="K155" s="84">
        <f t="shared" si="72"/>
        <v>0</v>
      </c>
      <c r="L155" s="84">
        <f t="shared" si="72"/>
        <v>0</v>
      </c>
      <c r="M155" s="84">
        <f t="shared" si="72"/>
        <v>43.707307562855732</v>
      </c>
      <c r="N155" s="84">
        <f t="shared" si="72"/>
        <v>36.324109561012584</v>
      </c>
      <c r="O155" s="84">
        <f t="shared" si="72"/>
        <v>0</v>
      </c>
      <c r="P155" s="84">
        <f t="shared" si="72"/>
        <v>29.806876715503346</v>
      </c>
      <c r="Q155" s="84">
        <f t="shared" si="72"/>
        <v>0</v>
      </c>
      <c r="R155" s="84">
        <f t="shared" si="72"/>
        <v>0</v>
      </c>
      <c r="S155" s="84">
        <f t="shared" si="72"/>
        <v>107.89806721577122</v>
      </c>
      <c r="T155" s="84">
        <f t="shared" si="72"/>
        <v>0</v>
      </c>
      <c r="U155" s="84">
        <f t="shared" si="73"/>
        <v>0</v>
      </c>
      <c r="V155" s="84">
        <f t="shared" si="73"/>
        <v>0</v>
      </c>
      <c r="W155" s="116">
        <f>SIS064_F_Komunalinespas1Elektrosenergi5+IFERROR((SIS065_F_Priskirtutiesi1Elektrosenergi1/SIS065_F_Priskirtutiesi1Isvisobendruju1*SIS064_F_Isviso3Elektrossavoms1),0)</f>
        <v>0</v>
      </c>
      <c r="X155" s="116">
        <f>SUM(SIS062_F_Komunalinespas1Geriamojovande1,SIS063_F_Komunalinespas1Geriamojovande1,SIS065_F_Komunalinespas1Geriamojovande1)+IFERROR((SIS065_F_Priskirtutiesi1Geriamojovande1/SIS065_F_Priskirtutiesi1Isvisobendruju1*SIS064_F_Isviso3Elektrossavoms1),0)</f>
        <v>0</v>
      </c>
      <c r="Y155" s="116">
        <f>SUM(SIS062_F_Komunalinespas1Paslaugaproduk8,SIS063_F_Komunalinespas1Paslaugaproduk8,SIS065_F_Komunalinespas1Paslaugaproduk8)+IFERROR((SIS065_F_Priskirtutiesi1Paslaugaproduk8/SIS065_F_Priskirtutiesi1Isvisobendruju1*SIS064_F_Isviso3Elektrossavoms1),0)</f>
        <v>0</v>
      </c>
      <c r="Z155" s="116">
        <f>SIS064_F_Komunalinespas1Elektrosenergi6+IFERROR((SIS065_F_Priskirtutiesi1Elektrosenergi2/SIS065_F_Priskirtutiesi1Isvisobendruju1*SIS064_F_Isviso3Elektrossavoms1),0)</f>
        <v>0</v>
      </c>
      <c r="AA155" s="116">
        <f t="array" ref="AA155">SUM(SIS062_F_Komunalinespas1Konkurencinesi1,SIS063_F_Komunalinespas1Konkurencinesi1,SIS065_F_Komunalinespas1Konkurencinesi1)+IFERROR((SIS065_F_Priskirtutiesi1Konkurencinesi1/SIS065_F_Priskirtutiesi1Isvisobendruju1*SIS064_F_Isviso3Elektrossavoms1),0)</f>
        <v>0</v>
      </c>
      <c r="AB155" s="116">
        <f>SUM(SIS062_F_Komunalinespas1Paslaugaproduk9,SIS063_F_Komunalinespas1Paslaugaproduk9,SIS065_F_Komunalinespas1Paslaugaproduk9)+IFERROR((SIS065_F_Priskirtutiesi1Paslaugaproduk9/SIS065_F_Priskirtutiesi1Isvisobendruju1*SIS064_F_Isviso3Elektrossavoms1),0)</f>
        <v>10.118505573719398</v>
      </c>
      <c r="AC155" s="85">
        <v>925.57304756563133</v>
      </c>
      <c r="AD155" s="86">
        <v>0</v>
      </c>
      <c r="AE155" s="86">
        <v>0</v>
      </c>
      <c r="AF155" s="86">
        <v>0</v>
      </c>
      <c r="AG155" s="87">
        <v>0</v>
      </c>
      <c r="AH155" s="87">
        <v>283.45208580550639</v>
      </c>
      <c r="AI155" s="87">
        <v>0</v>
      </c>
      <c r="AJ155" s="87">
        <v>0</v>
      </c>
      <c r="AK155" s="87">
        <v>43.707307562855732</v>
      </c>
      <c r="AL155" s="87">
        <v>36.324109561012584</v>
      </c>
      <c r="AM155" s="117">
        <v>0</v>
      </c>
      <c r="AN155" s="117">
        <v>29.806876715503346</v>
      </c>
      <c r="AO155" s="117">
        <v>0</v>
      </c>
      <c r="AP155" s="117">
        <v>0</v>
      </c>
      <c r="AQ155" s="117">
        <v>107.89806721577122</v>
      </c>
      <c r="AR155" s="117">
        <v>0</v>
      </c>
      <c r="AS155" s="117">
        <v>0</v>
      </c>
      <c r="AT155" s="117">
        <v>0</v>
      </c>
      <c r="AU155" s="118">
        <v>0</v>
      </c>
      <c r="AV155" s="119">
        <v>0</v>
      </c>
      <c r="AW155" s="117">
        <v>0</v>
      </c>
      <c r="AX155" s="120">
        <v>0</v>
      </c>
      <c r="AY155" s="117">
        <v>0</v>
      </c>
      <c r="AZ155" s="117"/>
      <c r="BA155" s="117"/>
      <c r="BB155" s="117"/>
      <c r="BC155" s="117"/>
      <c r="BD155" s="117"/>
      <c r="BE155" s="117"/>
      <c r="BF155" s="117"/>
      <c r="BG155" s="117"/>
      <c r="BH155" s="117"/>
      <c r="BI155" s="117"/>
      <c r="BJ155" s="117"/>
      <c r="BK155" s="117"/>
      <c r="BL155" s="117"/>
      <c r="BM155" s="117"/>
      <c r="BN155" s="118"/>
      <c r="BO155" s="119"/>
      <c r="BP155" s="117"/>
      <c r="BQ155" s="120"/>
      <c r="BR155" s="117"/>
      <c r="BS155" s="117"/>
      <c r="BT155" s="117"/>
      <c r="BU155" s="117"/>
      <c r="BV155" s="117"/>
      <c r="BW155" s="117"/>
      <c r="BX155" s="117"/>
      <c r="BY155" s="117"/>
      <c r="BZ155" s="117"/>
      <c r="CA155" s="117"/>
      <c r="CB155" s="117"/>
      <c r="CC155" s="117"/>
      <c r="CD155" s="117"/>
      <c r="CE155" s="117"/>
      <c r="CF155" s="117"/>
      <c r="CG155" s="118"/>
      <c r="CH155" s="119"/>
      <c r="CI155" s="117"/>
      <c r="CJ155" s="120"/>
      <c r="CK155" s="117"/>
      <c r="CL155" s="117"/>
      <c r="CM155" s="117"/>
      <c r="CN155" s="117"/>
      <c r="CO155" s="117"/>
      <c r="CP155" s="117"/>
      <c r="CQ155" s="117"/>
      <c r="CR155" s="117"/>
      <c r="CS155" s="117"/>
      <c r="CT155" s="117"/>
      <c r="CU155" s="117"/>
      <c r="CV155" s="117"/>
      <c r="CW155" s="117"/>
      <c r="CX155" s="117"/>
      <c r="CY155" s="117"/>
      <c r="CZ155" s="118"/>
      <c r="DA155" s="119"/>
      <c r="DB155" s="117"/>
      <c r="DC155" s="120"/>
      <c r="DD155" s="117"/>
      <c r="DE155" s="117"/>
      <c r="DF155" s="117"/>
      <c r="DG155" s="117"/>
      <c r="DH155" s="117"/>
      <c r="DI155" s="117"/>
      <c r="DJ155" s="117"/>
      <c r="DK155" s="117"/>
      <c r="DL155" s="117"/>
      <c r="DM155" s="117"/>
      <c r="DN155" s="117"/>
      <c r="DO155" s="117"/>
      <c r="DP155" s="117"/>
      <c r="DQ155" s="117"/>
      <c r="DR155" s="117"/>
      <c r="DS155" s="118"/>
      <c r="DT155" s="119"/>
      <c r="DU155" s="117"/>
      <c r="DV155" s="120"/>
      <c r="DW155" s="117"/>
      <c r="DX155" s="117"/>
      <c r="DY155" s="117"/>
      <c r="DZ155" s="117"/>
      <c r="EA155" s="117"/>
      <c r="EB155" s="117"/>
      <c r="EC155" s="117"/>
      <c r="ED155" s="117"/>
      <c r="EE155" s="117"/>
      <c r="EF155" s="117"/>
      <c r="EG155" s="117"/>
      <c r="EH155" s="117"/>
      <c r="EI155" s="117"/>
      <c r="EJ155" s="117"/>
      <c r="EK155" s="117"/>
      <c r="EL155" s="118"/>
      <c r="EM155" s="119"/>
      <c r="EN155" s="117"/>
      <c r="EO155" s="120"/>
      <c r="EP155" s="117"/>
      <c r="EQ155" s="117"/>
      <c r="ER155" s="117"/>
      <c r="ES155" s="117"/>
      <c r="ET155" s="117"/>
      <c r="EU155" s="117"/>
      <c r="EV155" s="117"/>
      <c r="EW155" s="117"/>
      <c r="EX155" s="117"/>
      <c r="EY155" s="117"/>
      <c r="EZ155" s="117"/>
      <c r="FA155" s="117"/>
      <c r="FB155" s="117"/>
      <c r="FC155" s="117"/>
      <c r="FD155" s="117"/>
      <c r="FE155" s="121"/>
    </row>
    <row r="156" spans="2:161" s="6" customFormat="1" ht="13.2">
      <c r="B156" s="108" t="s">
        <v>283</v>
      </c>
      <c r="C156" s="110" t="s">
        <v>284</v>
      </c>
      <c r="D156" s="81">
        <f t="shared" si="71"/>
        <v>747.29999999999984</v>
      </c>
      <c r="E156" s="82">
        <f t="shared" si="72"/>
        <v>481.37682927300557</v>
      </c>
      <c r="F156" s="83">
        <f t="shared" si="72"/>
        <v>0</v>
      </c>
      <c r="G156" s="83">
        <f t="shared" si="72"/>
        <v>0</v>
      </c>
      <c r="H156" s="83">
        <f t="shared" si="72"/>
        <v>0</v>
      </c>
      <c r="I156" s="84">
        <f t="shared" si="72"/>
        <v>0</v>
      </c>
      <c r="J156" s="84">
        <f t="shared" si="72"/>
        <v>147.41923036193342</v>
      </c>
      <c r="K156" s="84">
        <f t="shared" si="72"/>
        <v>0</v>
      </c>
      <c r="L156" s="84">
        <f t="shared" si="72"/>
        <v>0</v>
      </c>
      <c r="M156" s="84">
        <f t="shared" si="72"/>
        <v>22.731523120735265</v>
      </c>
      <c r="N156" s="84">
        <f t="shared" si="72"/>
        <v>18.891631225255207</v>
      </c>
      <c r="O156" s="84">
        <f t="shared" si="72"/>
        <v>0</v>
      </c>
      <c r="P156" s="84">
        <f t="shared" si="72"/>
        <v>15.502114977935282</v>
      </c>
      <c r="Q156" s="84">
        <f t="shared" si="72"/>
        <v>0</v>
      </c>
      <c r="R156" s="84">
        <f t="shared" si="72"/>
        <v>0</v>
      </c>
      <c r="S156" s="84">
        <f t="shared" si="72"/>
        <v>56.116186202289562</v>
      </c>
      <c r="T156" s="84">
        <f t="shared" si="72"/>
        <v>0</v>
      </c>
      <c r="U156" s="84">
        <f t="shared" si="73"/>
        <v>0</v>
      </c>
      <c r="V156" s="84">
        <f t="shared" si="73"/>
        <v>0</v>
      </c>
      <c r="W156" s="84">
        <f>SIS064_F_Patalpuprieziu1Elektrosenergi5</f>
        <v>0</v>
      </c>
      <c r="X156" s="84">
        <f>SUM(SIS062_F_Patalpuprieziu1Geriamojovande1,SIS063_F_Patalpuprieziu1Geriamojovande1,SIS065_F_Patalpuprieziu1Geriamojovande1)</f>
        <v>0</v>
      </c>
      <c r="Y156" s="84">
        <f>SUM(SIS062_F_Patalpuprieziu1Paslaugaproduk8,SIS063_F_Patalpuprieziu1Paslaugaproduk8,SIS065_F_Patalpuprieziu1Paslaugaproduk8)</f>
        <v>0</v>
      </c>
      <c r="Z156" s="84">
        <f>SIS064_F_Patalpuprieziu1Elektrosenergi6</f>
        <v>0</v>
      </c>
      <c r="AA156" s="84">
        <f>SUM(SIS062_F_Patalpuprieziu1Konkurencinesi1,SIS063_F_Patalpuprieziu1Konkurencinesi1,SIS065_F_Patalpuprieziu1Konkurencinesi1,)</f>
        <v>0</v>
      </c>
      <c r="AB156" s="84">
        <f>SUM(SIS062_F_Patalpuprieziu1Paslaugaproduk9,SIS063_F_Patalpuprieziu1Paslaugaproduk9,SIS065_F_Patalpuprieziu1Paslaugaproduk9)</f>
        <v>5.2624848388456273</v>
      </c>
      <c r="AC156" s="85">
        <v>481.37682927300557</v>
      </c>
      <c r="AD156" s="86">
        <v>0</v>
      </c>
      <c r="AE156" s="86">
        <v>0</v>
      </c>
      <c r="AF156" s="86">
        <v>0</v>
      </c>
      <c r="AG156" s="87">
        <v>0</v>
      </c>
      <c r="AH156" s="87">
        <v>147.41923036193342</v>
      </c>
      <c r="AI156" s="87">
        <v>0</v>
      </c>
      <c r="AJ156" s="87">
        <v>0</v>
      </c>
      <c r="AK156" s="87">
        <v>22.731523120735265</v>
      </c>
      <c r="AL156" s="87">
        <v>18.891631225255207</v>
      </c>
      <c r="AM156" s="87">
        <v>0</v>
      </c>
      <c r="AN156" s="87">
        <v>15.502114977935282</v>
      </c>
      <c r="AO156" s="87">
        <v>0</v>
      </c>
      <c r="AP156" s="87">
        <v>0</v>
      </c>
      <c r="AQ156" s="87">
        <v>56.116186202289562</v>
      </c>
      <c r="AR156" s="87">
        <v>0</v>
      </c>
      <c r="AS156" s="87">
        <v>0</v>
      </c>
      <c r="AT156" s="87">
        <v>0</v>
      </c>
      <c r="AU156" s="88">
        <v>0</v>
      </c>
      <c r="AV156" s="85">
        <v>0</v>
      </c>
      <c r="AW156" s="86">
        <v>0</v>
      </c>
      <c r="AX156" s="86">
        <v>0</v>
      </c>
      <c r="AY156" s="86">
        <v>0</v>
      </c>
      <c r="AZ156" s="87"/>
      <c r="BA156" s="87"/>
      <c r="BB156" s="87"/>
      <c r="BC156" s="87"/>
      <c r="BD156" s="87"/>
      <c r="BE156" s="87"/>
      <c r="BF156" s="87"/>
      <c r="BG156" s="87"/>
      <c r="BH156" s="87"/>
      <c r="BI156" s="87"/>
      <c r="BJ156" s="87"/>
      <c r="BK156" s="87"/>
      <c r="BL156" s="87"/>
      <c r="BM156" s="87"/>
      <c r="BN156" s="88"/>
      <c r="BO156" s="85"/>
      <c r="BP156" s="86"/>
      <c r="BQ156" s="86"/>
      <c r="BR156" s="86"/>
      <c r="BS156" s="87"/>
      <c r="BT156" s="87"/>
      <c r="BU156" s="87"/>
      <c r="BV156" s="87"/>
      <c r="BW156" s="87"/>
      <c r="BX156" s="87"/>
      <c r="BY156" s="87"/>
      <c r="BZ156" s="87"/>
      <c r="CA156" s="87"/>
      <c r="CB156" s="87"/>
      <c r="CC156" s="87"/>
      <c r="CD156" s="87"/>
      <c r="CE156" s="87"/>
      <c r="CF156" s="87"/>
      <c r="CG156" s="88"/>
      <c r="CH156" s="85"/>
      <c r="CI156" s="86"/>
      <c r="CJ156" s="86"/>
      <c r="CK156" s="86"/>
      <c r="CL156" s="87"/>
      <c r="CM156" s="87"/>
      <c r="CN156" s="87"/>
      <c r="CO156" s="87"/>
      <c r="CP156" s="87"/>
      <c r="CQ156" s="87"/>
      <c r="CR156" s="87"/>
      <c r="CS156" s="87"/>
      <c r="CT156" s="87"/>
      <c r="CU156" s="87"/>
      <c r="CV156" s="87"/>
      <c r="CW156" s="87"/>
      <c r="CX156" s="87"/>
      <c r="CY156" s="87"/>
      <c r="CZ156" s="88"/>
      <c r="DA156" s="85"/>
      <c r="DB156" s="86"/>
      <c r="DC156" s="86"/>
      <c r="DD156" s="86"/>
      <c r="DE156" s="87"/>
      <c r="DF156" s="87"/>
      <c r="DG156" s="87"/>
      <c r="DH156" s="87"/>
      <c r="DI156" s="87"/>
      <c r="DJ156" s="87"/>
      <c r="DK156" s="87"/>
      <c r="DL156" s="87"/>
      <c r="DM156" s="87"/>
      <c r="DN156" s="87"/>
      <c r="DO156" s="87"/>
      <c r="DP156" s="87"/>
      <c r="DQ156" s="87"/>
      <c r="DR156" s="87"/>
      <c r="DS156" s="88"/>
      <c r="DT156" s="85"/>
      <c r="DU156" s="86"/>
      <c r="DV156" s="86"/>
      <c r="DW156" s="86"/>
      <c r="DX156" s="87"/>
      <c r="DY156" s="87"/>
      <c r="DZ156" s="87"/>
      <c r="EA156" s="87"/>
      <c r="EB156" s="87"/>
      <c r="EC156" s="87"/>
      <c r="ED156" s="87"/>
      <c r="EE156" s="87"/>
      <c r="EF156" s="87"/>
      <c r="EG156" s="87"/>
      <c r="EH156" s="87"/>
      <c r="EI156" s="87"/>
      <c r="EJ156" s="87"/>
      <c r="EK156" s="87"/>
      <c r="EL156" s="88"/>
      <c r="EM156" s="85"/>
      <c r="EN156" s="86"/>
      <c r="EO156" s="86"/>
      <c r="EP156" s="86"/>
      <c r="EQ156" s="87"/>
      <c r="ER156" s="87"/>
      <c r="ES156" s="87"/>
      <c r="ET156" s="87"/>
      <c r="EU156" s="87"/>
      <c r="EV156" s="87"/>
      <c r="EW156" s="87"/>
      <c r="EX156" s="87"/>
      <c r="EY156" s="87"/>
      <c r="EZ156" s="87"/>
      <c r="FA156" s="87"/>
      <c r="FB156" s="87"/>
      <c r="FC156" s="87"/>
      <c r="FD156" s="87"/>
      <c r="FE156" s="89"/>
    </row>
    <row r="157" spans="2:161" s="6" customFormat="1" ht="13.2">
      <c r="B157" s="108" t="s">
        <v>285</v>
      </c>
      <c r="C157" s="110" t="str">
        <f>SIS055_D_Kitosadministr1</f>
        <v>Kitos administravimo sąnaudos (darbų saugos tarnybos funkcijų vykdymas)</v>
      </c>
      <c r="D157" s="81">
        <f t="shared" si="71"/>
        <v>8618.5</v>
      </c>
      <c r="E157" s="82">
        <f t="shared" si="72"/>
        <v>5551.6475352460839</v>
      </c>
      <c r="F157" s="83">
        <f t="shared" si="72"/>
        <v>0</v>
      </c>
      <c r="G157" s="83">
        <f t="shared" si="72"/>
        <v>0</v>
      </c>
      <c r="H157" s="83">
        <f t="shared" si="72"/>
        <v>0</v>
      </c>
      <c r="I157" s="84">
        <f t="shared" si="72"/>
        <v>0</v>
      </c>
      <c r="J157" s="84">
        <f t="shared" si="72"/>
        <v>1700.1641066162497</v>
      </c>
      <c r="K157" s="84">
        <f t="shared" si="72"/>
        <v>0</v>
      </c>
      <c r="L157" s="84">
        <f t="shared" si="72"/>
        <v>0</v>
      </c>
      <c r="M157" s="84">
        <f t="shared" si="72"/>
        <v>262.15928277272434</v>
      </c>
      <c r="N157" s="84">
        <f t="shared" si="72"/>
        <v>217.87437938560419</v>
      </c>
      <c r="O157" s="84">
        <f t="shared" si="72"/>
        <v>0</v>
      </c>
      <c r="P157" s="84">
        <f t="shared" si="72"/>
        <v>178.78359151255884</v>
      </c>
      <c r="Q157" s="84">
        <f t="shared" si="72"/>
        <v>0</v>
      </c>
      <c r="R157" s="84">
        <f t="shared" si="72"/>
        <v>0</v>
      </c>
      <c r="S157" s="84">
        <f t="shared" si="72"/>
        <v>647.17964777791065</v>
      </c>
      <c r="T157" s="84">
        <f t="shared" si="72"/>
        <v>0</v>
      </c>
      <c r="U157" s="84">
        <f t="shared" si="73"/>
        <v>0</v>
      </c>
      <c r="V157" s="84">
        <f t="shared" si="73"/>
        <v>0</v>
      </c>
      <c r="W157" s="84">
        <f>SIS064_F_Kitosadministr1Elektrosenergi5</f>
        <v>0</v>
      </c>
      <c r="X157" s="84">
        <f>SUM(SIS062_F_Kitosadministr1Geriamojovande1,SIS063_F_Kitosadministr1Geriamojovande1,SIS065_F_Kitosadministr1Geriamojovande1)</f>
        <v>0</v>
      </c>
      <c r="Y157" s="84">
        <f>SUM(SIS062_F_Kitosadministr1Paslaugaproduk8,SIS063_F_Kitosadministr1Paslaugaproduk8,SIS065_F_Kitosadministr1Paslaugaproduk8)</f>
        <v>0</v>
      </c>
      <c r="Z157" s="84">
        <f>SIS064_F_Kitosadministr1Elektrosenergi6</f>
        <v>0</v>
      </c>
      <c r="AA157" s="84">
        <f>SUM(SIS062_F_Kitosadministr1Konkurencinesi1,SIS063_F_Kitosadministr1Konkurencinesi1,SIS065_F_Kitosadministr1Konkurencinesi1,)</f>
        <v>0</v>
      </c>
      <c r="AB157" s="84">
        <f>SUM(SIS062_F_Kitosadministr1Paslaugaproduk9,SIS063_F_Kitosadministr1Paslaugaproduk9,SIS065_F_Kitosadministr1Paslaugaproduk9)</f>
        <v>60.69145668886798</v>
      </c>
      <c r="AC157" s="85">
        <v>5551.6475352460839</v>
      </c>
      <c r="AD157" s="86">
        <v>0</v>
      </c>
      <c r="AE157" s="86">
        <v>0</v>
      </c>
      <c r="AF157" s="86">
        <v>0</v>
      </c>
      <c r="AG157" s="87">
        <v>0</v>
      </c>
      <c r="AH157" s="87">
        <v>1700.1641066162497</v>
      </c>
      <c r="AI157" s="87">
        <v>0</v>
      </c>
      <c r="AJ157" s="87">
        <v>0</v>
      </c>
      <c r="AK157" s="87">
        <v>262.15928277272434</v>
      </c>
      <c r="AL157" s="87">
        <v>217.87437938560419</v>
      </c>
      <c r="AM157" s="87">
        <v>0</v>
      </c>
      <c r="AN157" s="87">
        <v>178.78359151255884</v>
      </c>
      <c r="AO157" s="87">
        <v>0</v>
      </c>
      <c r="AP157" s="87">
        <v>0</v>
      </c>
      <c r="AQ157" s="87">
        <v>647.17964777791065</v>
      </c>
      <c r="AR157" s="87">
        <v>0</v>
      </c>
      <c r="AS157" s="87">
        <v>0</v>
      </c>
      <c r="AT157" s="87">
        <v>0</v>
      </c>
      <c r="AU157" s="88">
        <v>0</v>
      </c>
      <c r="AV157" s="85">
        <v>0</v>
      </c>
      <c r="AW157" s="86">
        <v>0</v>
      </c>
      <c r="AX157" s="86">
        <v>0</v>
      </c>
      <c r="AY157" s="86">
        <v>0</v>
      </c>
      <c r="AZ157" s="87"/>
      <c r="BA157" s="87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8"/>
      <c r="BO157" s="85"/>
      <c r="BP157" s="86"/>
      <c r="BQ157" s="86"/>
      <c r="BR157" s="86"/>
      <c r="BS157" s="87"/>
      <c r="BT157" s="87"/>
      <c r="BU157" s="87"/>
      <c r="BV157" s="87"/>
      <c r="BW157" s="87"/>
      <c r="BX157" s="87"/>
      <c r="BY157" s="87"/>
      <c r="BZ157" s="87"/>
      <c r="CA157" s="87"/>
      <c r="CB157" s="87"/>
      <c r="CC157" s="87"/>
      <c r="CD157" s="87"/>
      <c r="CE157" s="87"/>
      <c r="CF157" s="87"/>
      <c r="CG157" s="88"/>
      <c r="CH157" s="85"/>
      <c r="CI157" s="86"/>
      <c r="CJ157" s="86"/>
      <c r="CK157" s="86"/>
      <c r="CL157" s="87"/>
      <c r="CM157" s="87"/>
      <c r="CN157" s="87"/>
      <c r="CO157" s="87"/>
      <c r="CP157" s="87"/>
      <c r="CQ157" s="87"/>
      <c r="CR157" s="87"/>
      <c r="CS157" s="87"/>
      <c r="CT157" s="87"/>
      <c r="CU157" s="87"/>
      <c r="CV157" s="87"/>
      <c r="CW157" s="87"/>
      <c r="CX157" s="87"/>
      <c r="CY157" s="87"/>
      <c r="CZ157" s="88"/>
      <c r="DA157" s="85"/>
      <c r="DB157" s="86"/>
      <c r="DC157" s="86"/>
      <c r="DD157" s="86"/>
      <c r="DE157" s="87"/>
      <c r="DF157" s="87"/>
      <c r="DG157" s="87"/>
      <c r="DH157" s="87"/>
      <c r="DI157" s="87"/>
      <c r="DJ157" s="87"/>
      <c r="DK157" s="87"/>
      <c r="DL157" s="87"/>
      <c r="DM157" s="87"/>
      <c r="DN157" s="87"/>
      <c r="DO157" s="87"/>
      <c r="DP157" s="87"/>
      <c r="DQ157" s="87"/>
      <c r="DR157" s="87"/>
      <c r="DS157" s="88"/>
      <c r="DT157" s="85"/>
      <c r="DU157" s="86"/>
      <c r="DV157" s="86"/>
      <c r="DW157" s="86"/>
      <c r="DX157" s="87"/>
      <c r="DY157" s="87"/>
      <c r="DZ157" s="87"/>
      <c r="EA157" s="87"/>
      <c r="EB157" s="87"/>
      <c r="EC157" s="87"/>
      <c r="ED157" s="87"/>
      <c r="EE157" s="87"/>
      <c r="EF157" s="87"/>
      <c r="EG157" s="87"/>
      <c r="EH157" s="87"/>
      <c r="EI157" s="87"/>
      <c r="EJ157" s="87"/>
      <c r="EK157" s="87"/>
      <c r="EL157" s="88"/>
      <c r="EM157" s="85"/>
      <c r="EN157" s="86"/>
      <c r="EO157" s="86"/>
      <c r="EP157" s="86"/>
      <c r="EQ157" s="87"/>
      <c r="ER157" s="87"/>
      <c r="ES157" s="87"/>
      <c r="ET157" s="87"/>
      <c r="EU157" s="87"/>
      <c r="EV157" s="87"/>
      <c r="EW157" s="87"/>
      <c r="EX157" s="87"/>
      <c r="EY157" s="87"/>
      <c r="EZ157" s="87"/>
      <c r="FA157" s="87"/>
      <c r="FB157" s="87"/>
      <c r="FC157" s="87"/>
      <c r="FD157" s="87"/>
      <c r="FE157" s="89"/>
    </row>
    <row r="158" spans="2:161" s="6" customFormat="1" ht="13.2">
      <c r="B158" s="108" t="s">
        <v>286</v>
      </c>
      <c r="C158" s="110" t="str">
        <f>SIS055_D_Kitosadministr2</f>
        <v>Kitos administravimo sąnaudos (geriamojo vandens nuoma)</v>
      </c>
      <c r="D158" s="81">
        <f t="shared" si="71"/>
        <v>882.46999999999991</v>
      </c>
      <c r="E158" s="82">
        <f t="shared" si="72"/>
        <v>568.4472240446263</v>
      </c>
      <c r="F158" s="83">
        <f t="shared" si="72"/>
        <v>0</v>
      </c>
      <c r="G158" s="83">
        <f t="shared" si="72"/>
        <v>0</v>
      </c>
      <c r="H158" s="83">
        <f t="shared" si="72"/>
        <v>0</v>
      </c>
      <c r="I158" s="84">
        <f t="shared" si="72"/>
        <v>0</v>
      </c>
      <c r="J158" s="84">
        <f t="shared" si="72"/>
        <v>174.08410038471217</v>
      </c>
      <c r="K158" s="84">
        <f t="shared" si="72"/>
        <v>0</v>
      </c>
      <c r="L158" s="84">
        <f t="shared" si="72"/>
        <v>0</v>
      </c>
      <c r="M158" s="84">
        <f t="shared" si="72"/>
        <v>26.843151623652147</v>
      </c>
      <c r="N158" s="84">
        <f t="shared" si="72"/>
        <v>22.308708426804447</v>
      </c>
      <c r="O158" s="84">
        <f t="shared" si="72"/>
        <v>0</v>
      </c>
      <c r="P158" s="84">
        <f t="shared" si="72"/>
        <v>18.306103846619227</v>
      </c>
      <c r="Q158" s="84">
        <f t="shared" si="72"/>
        <v>0</v>
      </c>
      <c r="R158" s="84">
        <f t="shared" si="72"/>
        <v>0</v>
      </c>
      <c r="S158" s="84">
        <f t="shared" si="72"/>
        <v>66.26636001329382</v>
      </c>
      <c r="T158" s="84">
        <f t="shared" si="72"/>
        <v>0</v>
      </c>
      <c r="U158" s="84">
        <f t="shared" si="73"/>
        <v>0</v>
      </c>
      <c r="V158" s="84">
        <f t="shared" si="73"/>
        <v>0</v>
      </c>
      <c r="W158" s="84">
        <f>SIS064_F_Kitosadministr2Elektrosenergi5</f>
        <v>0</v>
      </c>
      <c r="X158" s="84">
        <f>SUM(SIS062_F_Kitosadministr2Geriamojovande1,SIS063_F_Kitosadministr2Geriamojovande1,SIS065_F_Kitosadministr2Geriamojovande1)</f>
        <v>0</v>
      </c>
      <c r="Y158" s="84">
        <f>SUM(SIS062_F_Kitosadministr2Paslaugaproduk8,SIS063_F_Kitosadministr2Paslaugaproduk8,SIS065_F_Kitosadministr2Paslaugaproduk8)</f>
        <v>0</v>
      </c>
      <c r="Z158" s="84">
        <f>SIS064_F_Kitosadministr2Elektrosenergi6</f>
        <v>0</v>
      </c>
      <c r="AA158" s="84">
        <f>SUM(SIS062_F_Kitosadministr2Konkurencinesi1,SIS063_F_Kitosadministr2Konkurencinesi1,SIS065_F_Kitosadministr2Konkurencinesi1,)</f>
        <v>0</v>
      </c>
      <c r="AB158" s="84">
        <f>SUM(SIS062_F_Kitosadministr2Paslaugaproduk9,SIS063_F_Kitosadministr2Paslaugaproduk9,SIS065_F_Kitosadministr2Paslaugaproduk9)</f>
        <v>6.214351660291852</v>
      </c>
      <c r="AC158" s="85">
        <v>568.4472240446263</v>
      </c>
      <c r="AD158" s="86">
        <v>0</v>
      </c>
      <c r="AE158" s="86">
        <v>0</v>
      </c>
      <c r="AF158" s="86">
        <v>0</v>
      </c>
      <c r="AG158" s="87">
        <v>0</v>
      </c>
      <c r="AH158" s="87">
        <v>174.08410038471217</v>
      </c>
      <c r="AI158" s="87">
        <v>0</v>
      </c>
      <c r="AJ158" s="87">
        <v>0</v>
      </c>
      <c r="AK158" s="87">
        <v>26.843151623652147</v>
      </c>
      <c r="AL158" s="87">
        <v>22.308708426804447</v>
      </c>
      <c r="AM158" s="87">
        <v>0</v>
      </c>
      <c r="AN158" s="87">
        <v>18.306103846619227</v>
      </c>
      <c r="AO158" s="87">
        <v>0</v>
      </c>
      <c r="AP158" s="87">
        <v>0</v>
      </c>
      <c r="AQ158" s="87">
        <v>66.26636001329382</v>
      </c>
      <c r="AR158" s="87">
        <v>0</v>
      </c>
      <c r="AS158" s="87">
        <v>0</v>
      </c>
      <c r="AT158" s="87">
        <v>0</v>
      </c>
      <c r="AU158" s="88">
        <v>0</v>
      </c>
      <c r="AV158" s="85">
        <v>0</v>
      </c>
      <c r="AW158" s="86">
        <v>0</v>
      </c>
      <c r="AX158" s="86">
        <v>0</v>
      </c>
      <c r="AY158" s="86">
        <v>0</v>
      </c>
      <c r="AZ158" s="87"/>
      <c r="BA158" s="87"/>
      <c r="BB158" s="87"/>
      <c r="BC158" s="87"/>
      <c r="BD158" s="87"/>
      <c r="BE158" s="87"/>
      <c r="BF158" s="87"/>
      <c r="BG158" s="87"/>
      <c r="BH158" s="87"/>
      <c r="BI158" s="87"/>
      <c r="BJ158" s="87"/>
      <c r="BK158" s="87"/>
      <c r="BL158" s="87"/>
      <c r="BM158" s="87"/>
      <c r="BN158" s="88"/>
      <c r="BO158" s="85"/>
      <c r="BP158" s="86"/>
      <c r="BQ158" s="86"/>
      <c r="BR158" s="86"/>
      <c r="BS158" s="87"/>
      <c r="BT158" s="87"/>
      <c r="BU158" s="87"/>
      <c r="BV158" s="87"/>
      <c r="BW158" s="87"/>
      <c r="BX158" s="87"/>
      <c r="BY158" s="87"/>
      <c r="BZ158" s="87"/>
      <c r="CA158" s="87"/>
      <c r="CB158" s="87"/>
      <c r="CC158" s="87"/>
      <c r="CD158" s="87"/>
      <c r="CE158" s="87"/>
      <c r="CF158" s="87"/>
      <c r="CG158" s="88"/>
      <c r="CH158" s="85"/>
      <c r="CI158" s="86"/>
      <c r="CJ158" s="86"/>
      <c r="CK158" s="86"/>
      <c r="CL158" s="87"/>
      <c r="CM158" s="87"/>
      <c r="CN158" s="87"/>
      <c r="CO158" s="87"/>
      <c r="CP158" s="87"/>
      <c r="CQ158" s="87"/>
      <c r="CR158" s="87"/>
      <c r="CS158" s="87"/>
      <c r="CT158" s="87"/>
      <c r="CU158" s="87"/>
      <c r="CV158" s="87"/>
      <c r="CW158" s="87"/>
      <c r="CX158" s="87"/>
      <c r="CY158" s="87"/>
      <c r="CZ158" s="88"/>
      <c r="DA158" s="85"/>
      <c r="DB158" s="86"/>
      <c r="DC158" s="86"/>
      <c r="DD158" s="86"/>
      <c r="DE158" s="87"/>
      <c r="DF158" s="87"/>
      <c r="DG158" s="87"/>
      <c r="DH158" s="87"/>
      <c r="DI158" s="87"/>
      <c r="DJ158" s="87"/>
      <c r="DK158" s="87"/>
      <c r="DL158" s="87"/>
      <c r="DM158" s="87"/>
      <c r="DN158" s="87"/>
      <c r="DO158" s="87"/>
      <c r="DP158" s="87"/>
      <c r="DQ158" s="87"/>
      <c r="DR158" s="87"/>
      <c r="DS158" s="88"/>
      <c r="DT158" s="85"/>
      <c r="DU158" s="86"/>
      <c r="DV158" s="86"/>
      <c r="DW158" s="86"/>
      <c r="DX158" s="87"/>
      <c r="DY158" s="87"/>
      <c r="DZ158" s="87"/>
      <c r="EA158" s="87"/>
      <c r="EB158" s="87"/>
      <c r="EC158" s="87"/>
      <c r="ED158" s="87"/>
      <c r="EE158" s="87"/>
      <c r="EF158" s="87"/>
      <c r="EG158" s="87"/>
      <c r="EH158" s="87"/>
      <c r="EI158" s="87"/>
      <c r="EJ158" s="87"/>
      <c r="EK158" s="87"/>
      <c r="EL158" s="88"/>
      <c r="EM158" s="85"/>
      <c r="EN158" s="86"/>
      <c r="EO158" s="86"/>
      <c r="EP158" s="86"/>
      <c r="EQ158" s="87"/>
      <c r="ER158" s="87"/>
      <c r="ES158" s="87"/>
      <c r="ET158" s="87"/>
      <c r="EU158" s="87"/>
      <c r="EV158" s="87"/>
      <c r="EW158" s="87"/>
      <c r="EX158" s="87"/>
      <c r="EY158" s="87"/>
      <c r="EZ158" s="87"/>
      <c r="FA158" s="87"/>
      <c r="FB158" s="87"/>
      <c r="FC158" s="87"/>
      <c r="FD158" s="87"/>
      <c r="FE158" s="89"/>
    </row>
    <row r="159" spans="2:161" s="6" customFormat="1" ht="13.2">
      <c r="B159" s="108" t="s">
        <v>287</v>
      </c>
      <c r="C159" s="110" t="str">
        <f>SIS055_D_Kitosadministr3</f>
        <v>Kitos administravimo sąnaudos (nurodyti)</v>
      </c>
      <c r="D159" s="81">
        <f t="shared" si="71"/>
        <v>0</v>
      </c>
      <c r="E159" s="82">
        <f t="shared" si="72"/>
        <v>0</v>
      </c>
      <c r="F159" s="83">
        <f t="shared" si="72"/>
        <v>0</v>
      </c>
      <c r="G159" s="83">
        <f t="shared" si="72"/>
        <v>0</v>
      </c>
      <c r="H159" s="83">
        <f t="shared" si="72"/>
        <v>0</v>
      </c>
      <c r="I159" s="84">
        <f t="shared" si="72"/>
        <v>0</v>
      </c>
      <c r="J159" s="84">
        <f t="shared" si="72"/>
        <v>0</v>
      </c>
      <c r="K159" s="84">
        <f t="shared" si="72"/>
        <v>0</v>
      </c>
      <c r="L159" s="84">
        <f t="shared" si="72"/>
        <v>0</v>
      </c>
      <c r="M159" s="84">
        <f t="shared" si="72"/>
        <v>0</v>
      </c>
      <c r="N159" s="84">
        <f t="shared" si="72"/>
        <v>0</v>
      </c>
      <c r="O159" s="84">
        <f t="shared" si="72"/>
        <v>0</v>
      </c>
      <c r="P159" s="84">
        <f t="shared" si="72"/>
        <v>0</v>
      </c>
      <c r="Q159" s="84">
        <f t="shared" si="72"/>
        <v>0</v>
      </c>
      <c r="R159" s="84">
        <f t="shared" si="72"/>
        <v>0</v>
      </c>
      <c r="S159" s="84">
        <f t="shared" si="72"/>
        <v>0</v>
      </c>
      <c r="T159" s="84">
        <f t="shared" si="72"/>
        <v>0</v>
      </c>
      <c r="U159" s="84">
        <f t="shared" si="73"/>
        <v>0</v>
      </c>
      <c r="V159" s="84">
        <f t="shared" si="73"/>
        <v>0</v>
      </c>
      <c r="W159" s="84">
        <f>SIS064_F_Kitosadministr3Elektrosenergi5</f>
        <v>0</v>
      </c>
      <c r="X159" s="84">
        <f>SUM(SIS062_F_Kitosadministr3Geriamojovande1,SIS063_F_Kitosadministr3Geriamojovande1,SIS065_F_Kitosadministr3Geriamojovande1)</f>
        <v>0</v>
      </c>
      <c r="Y159" s="84">
        <f>SUM(SIS062_F_Kitosadministr3Paslaugaproduk8,SIS063_F_Kitosadministr3Paslaugaproduk8,SIS065_F_Kitosadministr3Paslaugaproduk8)</f>
        <v>0</v>
      </c>
      <c r="Z159" s="84">
        <f>SIS064_F_Kitosadministr3Elektrosenergi6</f>
        <v>0</v>
      </c>
      <c r="AA159" s="84">
        <f>SUM(SIS062_F_Kitosadministr3Konkurencinesi1,SIS063_F_Kitosadministr3Konkurencinesi1,SIS065_F_Kitosadministr3Konkurencinesi1,)</f>
        <v>0</v>
      </c>
      <c r="AB159" s="84">
        <f>SUM(SIS062_F_Kitosadministr3Paslaugaproduk9,SIS063_F_Kitosadministr3Paslaugaproduk9,SIS065_F_Kitosadministr3Paslaugaproduk9)</f>
        <v>0</v>
      </c>
      <c r="AC159" s="85">
        <v>0</v>
      </c>
      <c r="AD159" s="86">
        <v>0</v>
      </c>
      <c r="AE159" s="86">
        <v>0</v>
      </c>
      <c r="AF159" s="86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8">
        <v>0</v>
      </c>
      <c r="AV159" s="85">
        <v>0</v>
      </c>
      <c r="AW159" s="86">
        <v>0</v>
      </c>
      <c r="AX159" s="86">
        <v>0</v>
      </c>
      <c r="AY159" s="86">
        <v>0</v>
      </c>
      <c r="AZ159" s="87"/>
      <c r="BA159" s="87"/>
      <c r="BB159" s="87"/>
      <c r="BC159" s="87"/>
      <c r="BD159" s="87"/>
      <c r="BE159" s="87"/>
      <c r="BF159" s="87"/>
      <c r="BG159" s="87"/>
      <c r="BH159" s="87"/>
      <c r="BI159" s="87"/>
      <c r="BJ159" s="87"/>
      <c r="BK159" s="87"/>
      <c r="BL159" s="87"/>
      <c r="BM159" s="87"/>
      <c r="BN159" s="88"/>
      <c r="BO159" s="85"/>
      <c r="BP159" s="86"/>
      <c r="BQ159" s="86"/>
      <c r="BR159" s="86"/>
      <c r="BS159" s="87"/>
      <c r="BT159" s="87"/>
      <c r="BU159" s="87"/>
      <c r="BV159" s="87"/>
      <c r="BW159" s="87"/>
      <c r="BX159" s="87"/>
      <c r="BY159" s="87"/>
      <c r="BZ159" s="87"/>
      <c r="CA159" s="87"/>
      <c r="CB159" s="87"/>
      <c r="CC159" s="87"/>
      <c r="CD159" s="87"/>
      <c r="CE159" s="87"/>
      <c r="CF159" s="87"/>
      <c r="CG159" s="88"/>
      <c r="CH159" s="85"/>
      <c r="CI159" s="86"/>
      <c r="CJ159" s="86"/>
      <c r="CK159" s="86"/>
      <c r="CL159" s="87"/>
      <c r="CM159" s="87"/>
      <c r="CN159" s="87"/>
      <c r="CO159" s="87"/>
      <c r="CP159" s="87"/>
      <c r="CQ159" s="87"/>
      <c r="CR159" s="87"/>
      <c r="CS159" s="87"/>
      <c r="CT159" s="87"/>
      <c r="CU159" s="87"/>
      <c r="CV159" s="87"/>
      <c r="CW159" s="87"/>
      <c r="CX159" s="87"/>
      <c r="CY159" s="87"/>
      <c r="CZ159" s="88"/>
      <c r="DA159" s="85"/>
      <c r="DB159" s="86"/>
      <c r="DC159" s="86"/>
      <c r="DD159" s="86"/>
      <c r="DE159" s="87"/>
      <c r="DF159" s="87"/>
      <c r="DG159" s="87"/>
      <c r="DH159" s="87"/>
      <c r="DI159" s="87"/>
      <c r="DJ159" s="87"/>
      <c r="DK159" s="87"/>
      <c r="DL159" s="87"/>
      <c r="DM159" s="87"/>
      <c r="DN159" s="87"/>
      <c r="DO159" s="87"/>
      <c r="DP159" s="87"/>
      <c r="DQ159" s="87"/>
      <c r="DR159" s="87"/>
      <c r="DS159" s="88"/>
      <c r="DT159" s="85"/>
      <c r="DU159" s="86"/>
      <c r="DV159" s="86"/>
      <c r="DW159" s="86"/>
      <c r="DX159" s="87"/>
      <c r="DY159" s="87"/>
      <c r="DZ159" s="87"/>
      <c r="EA159" s="87"/>
      <c r="EB159" s="87"/>
      <c r="EC159" s="87"/>
      <c r="ED159" s="87"/>
      <c r="EE159" s="87"/>
      <c r="EF159" s="87"/>
      <c r="EG159" s="87"/>
      <c r="EH159" s="87"/>
      <c r="EI159" s="87"/>
      <c r="EJ159" s="87"/>
      <c r="EK159" s="87"/>
      <c r="EL159" s="88"/>
      <c r="EM159" s="85"/>
      <c r="EN159" s="86"/>
      <c r="EO159" s="86"/>
      <c r="EP159" s="86"/>
      <c r="EQ159" s="87"/>
      <c r="ER159" s="87"/>
      <c r="ES159" s="87"/>
      <c r="ET159" s="87"/>
      <c r="EU159" s="87"/>
      <c r="EV159" s="87"/>
      <c r="EW159" s="87"/>
      <c r="EX159" s="87"/>
      <c r="EY159" s="87"/>
      <c r="EZ159" s="87"/>
      <c r="FA159" s="87"/>
      <c r="FB159" s="87"/>
      <c r="FC159" s="87"/>
      <c r="FD159" s="87"/>
      <c r="FE159" s="89"/>
    </row>
    <row r="160" spans="2:161" s="6" customFormat="1" ht="13.2">
      <c r="B160" s="93" t="s">
        <v>288</v>
      </c>
      <c r="C160" s="111" t="s">
        <v>289</v>
      </c>
      <c r="D160" s="106">
        <f t="shared" ref="D160:BO160" si="74">SUM(D161:D170)</f>
        <v>8959.5700000000015</v>
      </c>
      <c r="E160" s="95">
        <f t="shared" si="74"/>
        <v>2593.1861891755925</v>
      </c>
      <c r="F160" s="96">
        <f t="shared" si="74"/>
        <v>0</v>
      </c>
      <c r="G160" s="96">
        <f t="shared" si="74"/>
        <v>0</v>
      </c>
      <c r="H160" s="96">
        <f t="shared" si="74"/>
        <v>0</v>
      </c>
      <c r="I160" s="97">
        <f t="shared" si="74"/>
        <v>0</v>
      </c>
      <c r="J160" s="97">
        <f t="shared" si="74"/>
        <v>1523.5707657091896</v>
      </c>
      <c r="K160" s="97">
        <f t="shared" si="74"/>
        <v>0</v>
      </c>
      <c r="L160" s="97">
        <f t="shared" si="74"/>
        <v>0</v>
      </c>
      <c r="M160" s="97">
        <f t="shared" si="74"/>
        <v>4097.1167281210082</v>
      </c>
      <c r="N160" s="97">
        <f t="shared" si="74"/>
        <v>277.07119396361594</v>
      </c>
      <c r="O160" s="97">
        <f t="shared" si="74"/>
        <v>0</v>
      </c>
      <c r="P160" s="97">
        <f t="shared" si="74"/>
        <v>44.269766625341106</v>
      </c>
      <c r="Q160" s="97">
        <f t="shared" si="74"/>
        <v>0</v>
      </c>
      <c r="R160" s="97">
        <f t="shared" si="74"/>
        <v>0</v>
      </c>
      <c r="S160" s="97">
        <f t="shared" si="74"/>
        <v>280.85367649952042</v>
      </c>
      <c r="T160" s="97">
        <f t="shared" si="74"/>
        <v>0</v>
      </c>
      <c r="U160" s="97">
        <f t="shared" si="74"/>
        <v>0</v>
      </c>
      <c r="V160" s="97">
        <f t="shared" si="74"/>
        <v>0</v>
      </c>
      <c r="W160" s="97">
        <f t="shared" si="74"/>
        <v>0</v>
      </c>
      <c r="X160" s="97">
        <f t="shared" si="74"/>
        <v>0</v>
      </c>
      <c r="Y160" s="97">
        <f t="shared" si="74"/>
        <v>0</v>
      </c>
      <c r="Z160" s="97">
        <f t="shared" si="74"/>
        <v>0</v>
      </c>
      <c r="AA160" s="97">
        <f t="shared" si="74"/>
        <v>0</v>
      </c>
      <c r="AB160" s="97">
        <f t="shared" si="74"/>
        <v>143.5016799057324</v>
      </c>
      <c r="AC160" s="98">
        <f t="shared" si="74"/>
        <v>2593.1861891755925</v>
      </c>
      <c r="AD160" s="99">
        <f t="shared" si="74"/>
        <v>0</v>
      </c>
      <c r="AE160" s="99">
        <f t="shared" si="74"/>
        <v>0</v>
      </c>
      <c r="AF160" s="99">
        <f t="shared" si="74"/>
        <v>0</v>
      </c>
      <c r="AG160" s="100">
        <f t="shared" si="74"/>
        <v>0</v>
      </c>
      <c r="AH160" s="100">
        <f t="shared" si="74"/>
        <v>1523.5707657091896</v>
      </c>
      <c r="AI160" s="100">
        <f t="shared" si="74"/>
        <v>0</v>
      </c>
      <c r="AJ160" s="100">
        <f t="shared" si="74"/>
        <v>0</v>
      </c>
      <c r="AK160" s="100">
        <f t="shared" si="74"/>
        <v>4097.1167281210082</v>
      </c>
      <c r="AL160" s="100">
        <f t="shared" si="74"/>
        <v>277.07119396361594</v>
      </c>
      <c r="AM160" s="100">
        <f t="shared" si="74"/>
        <v>0</v>
      </c>
      <c r="AN160" s="100">
        <f t="shared" si="74"/>
        <v>44.269766625341106</v>
      </c>
      <c r="AO160" s="100">
        <f t="shared" si="74"/>
        <v>0</v>
      </c>
      <c r="AP160" s="100">
        <f t="shared" si="74"/>
        <v>0</v>
      </c>
      <c r="AQ160" s="100">
        <f t="shared" si="74"/>
        <v>280.85367649952042</v>
      </c>
      <c r="AR160" s="100">
        <f t="shared" si="74"/>
        <v>0</v>
      </c>
      <c r="AS160" s="100">
        <f t="shared" si="74"/>
        <v>0</v>
      </c>
      <c r="AT160" s="100">
        <f t="shared" si="74"/>
        <v>0</v>
      </c>
      <c r="AU160" s="97">
        <f t="shared" si="74"/>
        <v>0</v>
      </c>
      <c r="AV160" s="98">
        <f t="shared" si="74"/>
        <v>0</v>
      </c>
      <c r="AW160" s="99">
        <f t="shared" si="74"/>
        <v>0</v>
      </c>
      <c r="AX160" s="99">
        <f t="shared" si="74"/>
        <v>0</v>
      </c>
      <c r="AY160" s="99">
        <f t="shared" si="74"/>
        <v>0</v>
      </c>
      <c r="AZ160" s="100">
        <f t="shared" si="74"/>
        <v>0</v>
      </c>
      <c r="BA160" s="100">
        <f t="shared" si="74"/>
        <v>0</v>
      </c>
      <c r="BB160" s="100">
        <f t="shared" si="74"/>
        <v>0</v>
      </c>
      <c r="BC160" s="100">
        <f t="shared" si="74"/>
        <v>0</v>
      </c>
      <c r="BD160" s="100">
        <f t="shared" si="74"/>
        <v>0</v>
      </c>
      <c r="BE160" s="100">
        <f t="shared" si="74"/>
        <v>0</v>
      </c>
      <c r="BF160" s="100">
        <f t="shared" si="74"/>
        <v>0</v>
      </c>
      <c r="BG160" s="100">
        <f t="shared" si="74"/>
        <v>0</v>
      </c>
      <c r="BH160" s="100">
        <f t="shared" si="74"/>
        <v>0</v>
      </c>
      <c r="BI160" s="100">
        <f t="shared" si="74"/>
        <v>0</v>
      </c>
      <c r="BJ160" s="100">
        <f t="shared" si="74"/>
        <v>0</v>
      </c>
      <c r="BK160" s="100">
        <f t="shared" si="74"/>
        <v>0</v>
      </c>
      <c r="BL160" s="100">
        <f t="shared" si="74"/>
        <v>0</v>
      </c>
      <c r="BM160" s="100">
        <f t="shared" si="74"/>
        <v>0</v>
      </c>
      <c r="BN160" s="97">
        <f t="shared" si="74"/>
        <v>0</v>
      </c>
      <c r="BO160" s="98">
        <f t="shared" si="74"/>
        <v>0</v>
      </c>
      <c r="BP160" s="99">
        <f t="shared" ref="BP160:EA160" si="75">SUM(BP161:BP170)</f>
        <v>0</v>
      </c>
      <c r="BQ160" s="99">
        <f t="shared" si="75"/>
        <v>0</v>
      </c>
      <c r="BR160" s="99">
        <f t="shared" si="75"/>
        <v>0</v>
      </c>
      <c r="BS160" s="100">
        <f t="shared" si="75"/>
        <v>0</v>
      </c>
      <c r="BT160" s="100">
        <f t="shared" si="75"/>
        <v>0</v>
      </c>
      <c r="BU160" s="100">
        <f t="shared" si="75"/>
        <v>0</v>
      </c>
      <c r="BV160" s="100">
        <f t="shared" si="75"/>
        <v>0</v>
      </c>
      <c r="BW160" s="100">
        <f t="shared" si="75"/>
        <v>0</v>
      </c>
      <c r="BX160" s="100">
        <f t="shared" si="75"/>
        <v>0</v>
      </c>
      <c r="BY160" s="100">
        <f t="shared" si="75"/>
        <v>0</v>
      </c>
      <c r="BZ160" s="100">
        <f t="shared" si="75"/>
        <v>0</v>
      </c>
      <c r="CA160" s="100">
        <f t="shared" si="75"/>
        <v>0</v>
      </c>
      <c r="CB160" s="100">
        <f t="shared" si="75"/>
        <v>0</v>
      </c>
      <c r="CC160" s="100">
        <f t="shared" si="75"/>
        <v>0</v>
      </c>
      <c r="CD160" s="100">
        <f t="shared" si="75"/>
        <v>0</v>
      </c>
      <c r="CE160" s="100">
        <f t="shared" si="75"/>
        <v>0</v>
      </c>
      <c r="CF160" s="100">
        <f t="shared" si="75"/>
        <v>0</v>
      </c>
      <c r="CG160" s="97">
        <f t="shared" si="75"/>
        <v>0</v>
      </c>
      <c r="CH160" s="98">
        <f t="shared" si="75"/>
        <v>0</v>
      </c>
      <c r="CI160" s="99">
        <f t="shared" si="75"/>
        <v>0</v>
      </c>
      <c r="CJ160" s="99">
        <f t="shared" si="75"/>
        <v>0</v>
      </c>
      <c r="CK160" s="99">
        <f t="shared" si="75"/>
        <v>0</v>
      </c>
      <c r="CL160" s="100">
        <f t="shared" si="75"/>
        <v>0</v>
      </c>
      <c r="CM160" s="100">
        <f t="shared" si="75"/>
        <v>0</v>
      </c>
      <c r="CN160" s="100">
        <f t="shared" si="75"/>
        <v>0</v>
      </c>
      <c r="CO160" s="100">
        <f t="shared" si="75"/>
        <v>0</v>
      </c>
      <c r="CP160" s="100">
        <f t="shared" si="75"/>
        <v>0</v>
      </c>
      <c r="CQ160" s="100">
        <f t="shared" si="75"/>
        <v>0</v>
      </c>
      <c r="CR160" s="100">
        <f t="shared" si="75"/>
        <v>0</v>
      </c>
      <c r="CS160" s="100">
        <f t="shared" si="75"/>
        <v>0</v>
      </c>
      <c r="CT160" s="100">
        <f t="shared" si="75"/>
        <v>0</v>
      </c>
      <c r="CU160" s="100">
        <f t="shared" si="75"/>
        <v>0</v>
      </c>
      <c r="CV160" s="100">
        <f t="shared" si="75"/>
        <v>0</v>
      </c>
      <c r="CW160" s="100">
        <f t="shared" si="75"/>
        <v>0</v>
      </c>
      <c r="CX160" s="100">
        <f t="shared" si="75"/>
        <v>0</v>
      </c>
      <c r="CY160" s="100">
        <f t="shared" si="75"/>
        <v>0</v>
      </c>
      <c r="CZ160" s="97">
        <f t="shared" si="75"/>
        <v>0</v>
      </c>
      <c r="DA160" s="98">
        <f t="shared" si="75"/>
        <v>0</v>
      </c>
      <c r="DB160" s="99">
        <f t="shared" si="75"/>
        <v>0</v>
      </c>
      <c r="DC160" s="99">
        <f t="shared" si="75"/>
        <v>0</v>
      </c>
      <c r="DD160" s="99">
        <f t="shared" si="75"/>
        <v>0</v>
      </c>
      <c r="DE160" s="100">
        <f t="shared" si="75"/>
        <v>0</v>
      </c>
      <c r="DF160" s="100">
        <f t="shared" si="75"/>
        <v>0</v>
      </c>
      <c r="DG160" s="100">
        <f t="shared" si="75"/>
        <v>0</v>
      </c>
      <c r="DH160" s="100">
        <f t="shared" si="75"/>
        <v>0</v>
      </c>
      <c r="DI160" s="100">
        <f t="shared" si="75"/>
        <v>0</v>
      </c>
      <c r="DJ160" s="100">
        <f t="shared" si="75"/>
        <v>0</v>
      </c>
      <c r="DK160" s="100">
        <f t="shared" si="75"/>
        <v>0</v>
      </c>
      <c r="DL160" s="100">
        <f t="shared" si="75"/>
        <v>0</v>
      </c>
      <c r="DM160" s="100">
        <f t="shared" si="75"/>
        <v>0</v>
      </c>
      <c r="DN160" s="100">
        <f t="shared" si="75"/>
        <v>0</v>
      </c>
      <c r="DO160" s="100">
        <f t="shared" si="75"/>
        <v>0</v>
      </c>
      <c r="DP160" s="100">
        <f t="shared" si="75"/>
        <v>0</v>
      </c>
      <c r="DQ160" s="100">
        <f t="shared" si="75"/>
        <v>0</v>
      </c>
      <c r="DR160" s="100">
        <f t="shared" si="75"/>
        <v>0</v>
      </c>
      <c r="DS160" s="97">
        <f t="shared" si="75"/>
        <v>0</v>
      </c>
      <c r="DT160" s="98">
        <f t="shared" si="75"/>
        <v>0</v>
      </c>
      <c r="DU160" s="99">
        <f t="shared" si="75"/>
        <v>0</v>
      </c>
      <c r="DV160" s="99">
        <f t="shared" si="75"/>
        <v>0</v>
      </c>
      <c r="DW160" s="99">
        <f t="shared" si="75"/>
        <v>0</v>
      </c>
      <c r="DX160" s="100">
        <f t="shared" si="75"/>
        <v>0</v>
      </c>
      <c r="DY160" s="100">
        <f t="shared" si="75"/>
        <v>0</v>
      </c>
      <c r="DZ160" s="100">
        <f t="shared" si="75"/>
        <v>0</v>
      </c>
      <c r="EA160" s="100">
        <f t="shared" si="75"/>
        <v>0</v>
      </c>
      <c r="EB160" s="100">
        <f t="shared" ref="EB160:GP160" si="76">SUM(EB161:EB170)</f>
        <v>0</v>
      </c>
      <c r="EC160" s="100">
        <f t="shared" si="76"/>
        <v>0</v>
      </c>
      <c r="ED160" s="100">
        <f t="shared" si="76"/>
        <v>0</v>
      </c>
      <c r="EE160" s="100">
        <f t="shared" si="76"/>
        <v>0</v>
      </c>
      <c r="EF160" s="100">
        <f t="shared" si="76"/>
        <v>0</v>
      </c>
      <c r="EG160" s="100">
        <f t="shared" si="76"/>
        <v>0</v>
      </c>
      <c r="EH160" s="100">
        <f t="shared" si="76"/>
        <v>0</v>
      </c>
      <c r="EI160" s="100">
        <f t="shared" si="76"/>
        <v>0</v>
      </c>
      <c r="EJ160" s="100">
        <f t="shared" si="76"/>
        <v>0</v>
      </c>
      <c r="EK160" s="100">
        <f t="shared" si="76"/>
        <v>0</v>
      </c>
      <c r="EL160" s="97">
        <f t="shared" si="76"/>
        <v>0</v>
      </c>
      <c r="EM160" s="98">
        <f t="shared" si="76"/>
        <v>0</v>
      </c>
      <c r="EN160" s="99">
        <f t="shared" si="76"/>
        <v>0</v>
      </c>
      <c r="EO160" s="99">
        <f t="shared" si="76"/>
        <v>0</v>
      </c>
      <c r="EP160" s="99">
        <f t="shared" si="76"/>
        <v>0</v>
      </c>
      <c r="EQ160" s="100">
        <f t="shared" si="76"/>
        <v>0</v>
      </c>
      <c r="ER160" s="100">
        <f t="shared" si="76"/>
        <v>0</v>
      </c>
      <c r="ES160" s="100">
        <f t="shared" si="76"/>
        <v>0</v>
      </c>
      <c r="ET160" s="100">
        <f t="shared" si="76"/>
        <v>0</v>
      </c>
      <c r="EU160" s="100">
        <f t="shared" si="76"/>
        <v>0</v>
      </c>
      <c r="EV160" s="100">
        <f t="shared" si="76"/>
        <v>0</v>
      </c>
      <c r="EW160" s="100">
        <f t="shared" si="76"/>
        <v>0</v>
      </c>
      <c r="EX160" s="100">
        <f t="shared" si="76"/>
        <v>0</v>
      </c>
      <c r="EY160" s="100">
        <f t="shared" si="76"/>
        <v>0</v>
      </c>
      <c r="EZ160" s="100">
        <f t="shared" si="76"/>
        <v>0</v>
      </c>
      <c r="FA160" s="100">
        <f t="shared" si="76"/>
        <v>0</v>
      </c>
      <c r="FB160" s="100">
        <f t="shared" si="76"/>
        <v>0</v>
      </c>
      <c r="FC160" s="100">
        <f t="shared" si="76"/>
        <v>0</v>
      </c>
      <c r="FD160" s="100">
        <f t="shared" si="76"/>
        <v>0</v>
      </c>
      <c r="FE160" s="101">
        <f t="shared" si="76"/>
        <v>0</v>
      </c>
    </row>
    <row r="161" spans="2:161" s="6" customFormat="1" ht="13.2" hidden="1">
      <c r="B161" s="108" t="s">
        <v>290</v>
      </c>
      <c r="C161" s="110" t="s">
        <v>291</v>
      </c>
      <c r="D161" s="81">
        <f t="shared" ref="D161:D170" si="77">SUM(E161:AB161)</f>
        <v>0</v>
      </c>
      <c r="E161" s="82">
        <f t="shared" ref="E161:T170" si="78">SUM(AC161,AV161,BO161,CH161,DA161,DT161,EM161)</f>
        <v>0</v>
      </c>
      <c r="F161" s="83">
        <f t="shared" si="78"/>
        <v>0</v>
      </c>
      <c r="G161" s="83">
        <f t="shared" si="78"/>
        <v>0</v>
      </c>
      <c r="H161" s="83">
        <f t="shared" si="78"/>
        <v>0</v>
      </c>
      <c r="I161" s="84">
        <f t="shared" si="78"/>
        <v>0</v>
      </c>
      <c r="J161" s="84">
        <f t="shared" si="78"/>
        <v>0</v>
      </c>
      <c r="K161" s="84">
        <f t="shared" si="78"/>
        <v>0</v>
      </c>
      <c r="L161" s="84">
        <f t="shared" si="78"/>
        <v>0</v>
      </c>
      <c r="M161" s="84">
        <f t="shared" si="78"/>
        <v>0</v>
      </c>
      <c r="N161" s="84">
        <f t="shared" si="78"/>
        <v>0</v>
      </c>
      <c r="O161" s="84">
        <f t="shared" si="78"/>
        <v>0</v>
      </c>
      <c r="P161" s="84">
        <f t="shared" si="78"/>
        <v>0</v>
      </c>
      <c r="Q161" s="84">
        <f t="shared" si="78"/>
        <v>0</v>
      </c>
      <c r="R161" s="84">
        <f t="shared" si="78"/>
        <v>0</v>
      </c>
      <c r="S161" s="84">
        <f t="shared" si="78"/>
        <v>0</v>
      </c>
      <c r="T161" s="84">
        <f t="shared" si="78"/>
        <v>0</v>
      </c>
      <c r="U161" s="84">
        <f t="shared" ref="U161:V170" si="79">SUM(AS161,BL161,CE161,CX161,DQ161,EJ161,FC161)</f>
        <v>0</v>
      </c>
      <c r="V161" s="84">
        <f t="shared" si="79"/>
        <v>0</v>
      </c>
      <c r="W161" s="84">
        <f>SIS064_F_Reklamospaslau1Elektrosenergi5</f>
        <v>0</v>
      </c>
      <c r="X161" s="84">
        <f>SUM(SIS062_F_Reklamospaslau1Geriamojovande1,SIS063_F_Reklamospaslau1Geriamojovande1,SIS065_F_Reklamospaslau1Geriamojovande1)</f>
        <v>0</v>
      </c>
      <c r="Y161" s="84">
        <f>SUM(SIS062_F_Reklamospaslau1Paslaugaproduk8,SIS063_F_Reklamospaslau1Paslaugaproduk8,SIS065_F_Reklamospaslau1Paslaugaproduk8)</f>
        <v>0</v>
      </c>
      <c r="Z161" s="84">
        <f>SIS064_F_Reklamospaslau1Elektrosenergi6</f>
        <v>0</v>
      </c>
      <c r="AA161" s="84">
        <f>SUM(SIS062_F_Reklamospaslau1Konkurencinesi1,SIS063_F_Reklamospaslau1Konkurencinesi1,SIS065_F_Reklamospaslau1Konkurencinesi1,)</f>
        <v>0</v>
      </c>
      <c r="AB161" s="84">
        <f>SUM(SIS062_F_Reklamospaslau1Paslaugaproduk9,SIS063_F_Reklamospaslau1Paslaugaproduk9,SIS065_F_Reklamospaslau1Paslaugaproduk9)</f>
        <v>0</v>
      </c>
      <c r="AC161" s="85">
        <v>0</v>
      </c>
      <c r="AD161" s="86">
        <v>0</v>
      </c>
      <c r="AE161" s="86">
        <v>0</v>
      </c>
      <c r="AF161" s="86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8">
        <v>0</v>
      </c>
      <c r="AV161" s="85">
        <v>0</v>
      </c>
      <c r="AW161" s="86">
        <v>0</v>
      </c>
      <c r="AX161" s="86">
        <v>0</v>
      </c>
      <c r="AY161" s="86">
        <v>0</v>
      </c>
      <c r="AZ161" s="87"/>
      <c r="BA161" s="87"/>
      <c r="BB161" s="87"/>
      <c r="BC161" s="87"/>
      <c r="BD161" s="87"/>
      <c r="BE161" s="87"/>
      <c r="BF161" s="87"/>
      <c r="BG161" s="87"/>
      <c r="BH161" s="87"/>
      <c r="BI161" s="87"/>
      <c r="BJ161" s="87"/>
      <c r="BK161" s="87"/>
      <c r="BL161" s="87"/>
      <c r="BM161" s="87"/>
      <c r="BN161" s="88"/>
      <c r="BO161" s="85"/>
      <c r="BP161" s="86"/>
      <c r="BQ161" s="86"/>
      <c r="BR161" s="86"/>
      <c r="BS161" s="87"/>
      <c r="BT161" s="87"/>
      <c r="BU161" s="87"/>
      <c r="BV161" s="87"/>
      <c r="BW161" s="87"/>
      <c r="BX161" s="87"/>
      <c r="BY161" s="87"/>
      <c r="BZ161" s="87"/>
      <c r="CA161" s="87"/>
      <c r="CB161" s="87"/>
      <c r="CC161" s="87"/>
      <c r="CD161" s="87"/>
      <c r="CE161" s="87"/>
      <c r="CF161" s="87"/>
      <c r="CG161" s="88"/>
      <c r="CH161" s="85"/>
      <c r="CI161" s="86"/>
      <c r="CJ161" s="86"/>
      <c r="CK161" s="86"/>
      <c r="CL161" s="87"/>
      <c r="CM161" s="87"/>
      <c r="CN161" s="87"/>
      <c r="CO161" s="87"/>
      <c r="CP161" s="87"/>
      <c r="CQ161" s="87"/>
      <c r="CR161" s="87"/>
      <c r="CS161" s="87"/>
      <c r="CT161" s="87"/>
      <c r="CU161" s="87"/>
      <c r="CV161" s="87"/>
      <c r="CW161" s="87"/>
      <c r="CX161" s="87"/>
      <c r="CY161" s="87"/>
      <c r="CZ161" s="88"/>
      <c r="DA161" s="85"/>
      <c r="DB161" s="86"/>
      <c r="DC161" s="86"/>
      <c r="DD161" s="86"/>
      <c r="DE161" s="87"/>
      <c r="DF161" s="87"/>
      <c r="DG161" s="87"/>
      <c r="DH161" s="87"/>
      <c r="DI161" s="87"/>
      <c r="DJ161" s="87"/>
      <c r="DK161" s="87"/>
      <c r="DL161" s="87"/>
      <c r="DM161" s="87"/>
      <c r="DN161" s="87"/>
      <c r="DO161" s="87"/>
      <c r="DP161" s="87"/>
      <c r="DQ161" s="87"/>
      <c r="DR161" s="87"/>
      <c r="DS161" s="88"/>
      <c r="DT161" s="85"/>
      <c r="DU161" s="86"/>
      <c r="DV161" s="86"/>
      <c r="DW161" s="86"/>
      <c r="DX161" s="87"/>
      <c r="DY161" s="87"/>
      <c r="DZ161" s="87"/>
      <c r="EA161" s="87"/>
      <c r="EB161" s="87"/>
      <c r="EC161" s="87"/>
      <c r="ED161" s="87"/>
      <c r="EE161" s="87"/>
      <c r="EF161" s="87"/>
      <c r="EG161" s="87"/>
      <c r="EH161" s="87"/>
      <c r="EI161" s="87"/>
      <c r="EJ161" s="87"/>
      <c r="EK161" s="87"/>
      <c r="EL161" s="88"/>
      <c r="EM161" s="85"/>
      <c r="EN161" s="86"/>
      <c r="EO161" s="86"/>
      <c r="EP161" s="86"/>
      <c r="EQ161" s="87"/>
      <c r="ER161" s="87"/>
      <c r="ES161" s="87"/>
      <c r="ET161" s="87"/>
      <c r="EU161" s="87"/>
      <c r="EV161" s="87"/>
      <c r="EW161" s="87"/>
      <c r="EX161" s="87"/>
      <c r="EY161" s="87"/>
      <c r="EZ161" s="87"/>
      <c r="FA161" s="87"/>
      <c r="FB161" s="87"/>
      <c r="FC161" s="87"/>
      <c r="FD161" s="87"/>
      <c r="FE161" s="89"/>
    </row>
    <row r="162" spans="2:161" s="6" customFormat="1" ht="13.2" hidden="1">
      <c r="B162" s="108" t="s">
        <v>292</v>
      </c>
      <c r="C162" s="110" t="s">
        <v>293</v>
      </c>
      <c r="D162" s="81">
        <f t="shared" si="77"/>
        <v>0</v>
      </c>
      <c r="E162" s="82">
        <f t="shared" si="78"/>
        <v>0</v>
      </c>
      <c r="F162" s="83">
        <f t="shared" si="78"/>
        <v>0</v>
      </c>
      <c r="G162" s="83">
        <f t="shared" si="78"/>
        <v>0</v>
      </c>
      <c r="H162" s="83">
        <f t="shared" si="78"/>
        <v>0</v>
      </c>
      <c r="I162" s="84">
        <f t="shared" si="78"/>
        <v>0</v>
      </c>
      <c r="J162" s="84">
        <f t="shared" si="78"/>
        <v>0</v>
      </c>
      <c r="K162" s="84">
        <f t="shared" si="78"/>
        <v>0</v>
      </c>
      <c r="L162" s="84">
        <f t="shared" si="78"/>
        <v>0</v>
      </c>
      <c r="M162" s="84">
        <f t="shared" si="78"/>
        <v>0</v>
      </c>
      <c r="N162" s="84">
        <f t="shared" si="78"/>
        <v>0</v>
      </c>
      <c r="O162" s="84">
        <f t="shared" si="78"/>
        <v>0</v>
      </c>
      <c r="P162" s="84">
        <f t="shared" si="78"/>
        <v>0</v>
      </c>
      <c r="Q162" s="84">
        <f t="shared" si="78"/>
        <v>0</v>
      </c>
      <c r="R162" s="84">
        <f t="shared" si="78"/>
        <v>0</v>
      </c>
      <c r="S162" s="84">
        <f t="shared" si="78"/>
        <v>0</v>
      </c>
      <c r="T162" s="84">
        <f t="shared" si="78"/>
        <v>0</v>
      </c>
      <c r="U162" s="84">
        <f t="shared" si="79"/>
        <v>0</v>
      </c>
      <c r="V162" s="84">
        <f t="shared" si="79"/>
        <v>0</v>
      </c>
      <c r="W162" s="84">
        <f>SIS064_F_Privalomovarto1Elektrosenergi5</f>
        <v>0</v>
      </c>
      <c r="X162" s="84">
        <f>SUM(SIS062_F_Privalomovarto1Geriamojovande1,SIS063_F_Privalomovarto1Geriamojovande1,SIS065_F_Privalomovarto1Geriamojovande1)</f>
        <v>0</v>
      </c>
      <c r="Y162" s="84">
        <f>SUM(SIS062_F_Privalomovarto1Paslaugaproduk8,SIS063_F_Privalomovarto1Paslaugaproduk8,SIS065_F_Privalomovarto1Paslaugaproduk8)</f>
        <v>0</v>
      </c>
      <c r="Z162" s="84">
        <f>SIS064_F_Privalomovarto1Elektrosenergi6</f>
        <v>0</v>
      </c>
      <c r="AA162" s="84">
        <f>SUM(SIS062_F_Privalomovarto1Konkurencinesi1,SIS063_F_Privalomovarto1Konkurencinesi1,SIS065_F_Privalomovarto1Konkurencinesi1,)</f>
        <v>0</v>
      </c>
      <c r="AB162" s="84">
        <f>SUM(SIS062_F_Privalomovarto1Paslaugaproduk9,SIS063_F_Privalomovarto1Paslaugaproduk9,SIS065_F_Privalomovarto1Paslaugaproduk9)</f>
        <v>0</v>
      </c>
      <c r="AC162" s="85">
        <v>0</v>
      </c>
      <c r="AD162" s="86">
        <v>0</v>
      </c>
      <c r="AE162" s="86">
        <v>0</v>
      </c>
      <c r="AF162" s="86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8">
        <v>0</v>
      </c>
      <c r="AV162" s="85">
        <v>0</v>
      </c>
      <c r="AW162" s="86">
        <v>0</v>
      </c>
      <c r="AX162" s="86">
        <v>0</v>
      </c>
      <c r="AY162" s="86">
        <v>0</v>
      </c>
      <c r="AZ162" s="87"/>
      <c r="BA162" s="87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8"/>
      <c r="BO162" s="85"/>
      <c r="BP162" s="86"/>
      <c r="BQ162" s="86"/>
      <c r="BR162" s="86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8"/>
      <c r="CH162" s="85"/>
      <c r="CI162" s="86"/>
      <c r="CJ162" s="86"/>
      <c r="CK162" s="86"/>
      <c r="CL162" s="87"/>
      <c r="CM162" s="87"/>
      <c r="CN162" s="87"/>
      <c r="CO162" s="87"/>
      <c r="CP162" s="87"/>
      <c r="CQ162" s="87"/>
      <c r="CR162" s="87"/>
      <c r="CS162" s="87"/>
      <c r="CT162" s="87"/>
      <c r="CU162" s="87"/>
      <c r="CV162" s="87"/>
      <c r="CW162" s="87"/>
      <c r="CX162" s="87"/>
      <c r="CY162" s="87"/>
      <c r="CZ162" s="88"/>
      <c r="DA162" s="85"/>
      <c r="DB162" s="86"/>
      <c r="DC162" s="86"/>
      <c r="DD162" s="86"/>
      <c r="DE162" s="87"/>
      <c r="DF162" s="87"/>
      <c r="DG162" s="87"/>
      <c r="DH162" s="87"/>
      <c r="DI162" s="87"/>
      <c r="DJ162" s="87"/>
      <c r="DK162" s="87"/>
      <c r="DL162" s="87"/>
      <c r="DM162" s="87"/>
      <c r="DN162" s="87"/>
      <c r="DO162" s="87"/>
      <c r="DP162" s="87"/>
      <c r="DQ162" s="87"/>
      <c r="DR162" s="87"/>
      <c r="DS162" s="88"/>
      <c r="DT162" s="85"/>
      <c r="DU162" s="86"/>
      <c r="DV162" s="86"/>
      <c r="DW162" s="86"/>
      <c r="DX162" s="87"/>
      <c r="DY162" s="87"/>
      <c r="DZ162" s="87"/>
      <c r="EA162" s="87"/>
      <c r="EB162" s="87"/>
      <c r="EC162" s="87"/>
      <c r="ED162" s="87"/>
      <c r="EE162" s="87"/>
      <c r="EF162" s="87"/>
      <c r="EG162" s="87"/>
      <c r="EH162" s="87"/>
      <c r="EI162" s="87"/>
      <c r="EJ162" s="87"/>
      <c r="EK162" s="87"/>
      <c r="EL162" s="88"/>
      <c r="EM162" s="85"/>
      <c r="EN162" s="86"/>
      <c r="EO162" s="86"/>
      <c r="EP162" s="86"/>
      <c r="EQ162" s="87"/>
      <c r="ER162" s="87"/>
      <c r="ES162" s="87"/>
      <c r="ET162" s="87"/>
      <c r="EU162" s="87"/>
      <c r="EV162" s="87"/>
      <c r="EW162" s="87"/>
      <c r="EX162" s="87"/>
      <c r="EY162" s="87"/>
      <c r="EZ162" s="87"/>
      <c r="FA162" s="87"/>
      <c r="FB162" s="87"/>
      <c r="FC162" s="87"/>
      <c r="FD162" s="87"/>
      <c r="FE162" s="89"/>
    </row>
    <row r="163" spans="2:161" s="6" customFormat="1" ht="13.2" hidden="1">
      <c r="B163" s="108" t="s">
        <v>294</v>
      </c>
      <c r="C163" s="110" t="s">
        <v>295</v>
      </c>
      <c r="D163" s="81">
        <f t="shared" si="77"/>
        <v>0</v>
      </c>
      <c r="E163" s="82">
        <f t="shared" si="78"/>
        <v>0</v>
      </c>
      <c r="F163" s="83">
        <f t="shared" si="78"/>
        <v>0</v>
      </c>
      <c r="G163" s="83">
        <f t="shared" si="78"/>
        <v>0</v>
      </c>
      <c r="H163" s="83">
        <f t="shared" si="78"/>
        <v>0</v>
      </c>
      <c r="I163" s="84">
        <f t="shared" si="78"/>
        <v>0</v>
      </c>
      <c r="J163" s="84">
        <f t="shared" si="78"/>
        <v>0</v>
      </c>
      <c r="K163" s="84">
        <f t="shared" si="78"/>
        <v>0</v>
      </c>
      <c r="L163" s="84">
        <f t="shared" si="78"/>
        <v>0</v>
      </c>
      <c r="M163" s="84">
        <f t="shared" si="78"/>
        <v>0</v>
      </c>
      <c r="N163" s="84">
        <f t="shared" si="78"/>
        <v>0</v>
      </c>
      <c r="O163" s="84">
        <f t="shared" si="78"/>
        <v>0</v>
      </c>
      <c r="P163" s="84">
        <f t="shared" si="78"/>
        <v>0</v>
      </c>
      <c r="Q163" s="84">
        <f t="shared" si="78"/>
        <v>0</v>
      </c>
      <c r="R163" s="84">
        <f t="shared" si="78"/>
        <v>0</v>
      </c>
      <c r="S163" s="84">
        <f t="shared" si="78"/>
        <v>0</v>
      </c>
      <c r="T163" s="84">
        <f t="shared" si="78"/>
        <v>0</v>
      </c>
      <c r="U163" s="84">
        <f t="shared" si="79"/>
        <v>0</v>
      </c>
      <c r="V163" s="84">
        <f t="shared" si="79"/>
        <v>0</v>
      </c>
      <c r="W163" s="84">
        <f>SIS064_F_Prekeszenkloiv1Elektrosenergi5</f>
        <v>0</v>
      </c>
      <c r="X163" s="84">
        <f>SUM(SIS062_F_Prekeszenkloiv1Geriamojovande1,SIS063_F_Prekeszenkloiv1Geriamojovande1,SIS065_F_Prekeszenkloiv1Geriamojovande1)</f>
        <v>0</v>
      </c>
      <c r="Y163" s="84">
        <f>SUM(SIS062_F_Prekeszenkloiv1Paslaugaproduk8,SIS063_F_Prekeszenkloiv1Paslaugaproduk8,SIS065_F_Prekeszenkloiv1Paslaugaproduk8)</f>
        <v>0</v>
      </c>
      <c r="Z163" s="84">
        <f>SIS064_F_Prekeszenkloiv1Elektrosenergi6</f>
        <v>0</v>
      </c>
      <c r="AA163" s="84">
        <f>SUM(SIS062_F_Prekeszenkloiv1Konkurencinesi1,SIS063_F_Prekeszenkloiv1Konkurencinesi1,SIS065_F_Prekeszenkloiv1Konkurencinesi1,)</f>
        <v>0</v>
      </c>
      <c r="AB163" s="84">
        <f>SUM(SIS062_F_Prekeszenkloiv1Paslaugaproduk9,SIS063_F_Prekeszenkloiv1Paslaugaproduk9,SIS065_F_Prekeszenkloiv1Paslaugaproduk9)</f>
        <v>0</v>
      </c>
      <c r="AC163" s="85">
        <v>0</v>
      </c>
      <c r="AD163" s="86">
        <v>0</v>
      </c>
      <c r="AE163" s="86">
        <v>0</v>
      </c>
      <c r="AF163" s="86">
        <v>0</v>
      </c>
      <c r="AG163" s="87">
        <v>0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0</v>
      </c>
      <c r="AP163" s="87">
        <v>0</v>
      </c>
      <c r="AQ163" s="87">
        <v>0</v>
      </c>
      <c r="AR163" s="87">
        <v>0</v>
      </c>
      <c r="AS163" s="87">
        <v>0</v>
      </c>
      <c r="AT163" s="87">
        <v>0</v>
      </c>
      <c r="AU163" s="88">
        <v>0</v>
      </c>
      <c r="AV163" s="85">
        <v>0</v>
      </c>
      <c r="AW163" s="86">
        <v>0</v>
      </c>
      <c r="AX163" s="86">
        <v>0</v>
      </c>
      <c r="AY163" s="86">
        <v>0</v>
      </c>
      <c r="AZ163" s="87"/>
      <c r="BA163" s="87"/>
      <c r="BB163" s="87"/>
      <c r="BC163" s="87"/>
      <c r="BD163" s="87"/>
      <c r="BE163" s="87"/>
      <c r="BF163" s="87"/>
      <c r="BG163" s="87"/>
      <c r="BH163" s="87"/>
      <c r="BI163" s="87"/>
      <c r="BJ163" s="87"/>
      <c r="BK163" s="87"/>
      <c r="BL163" s="87"/>
      <c r="BM163" s="87"/>
      <c r="BN163" s="88"/>
      <c r="BO163" s="85"/>
      <c r="BP163" s="86"/>
      <c r="BQ163" s="86"/>
      <c r="BR163" s="86"/>
      <c r="BS163" s="87"/>
      <c r="BT163" s="87"/>
      <c r="BU163" s="87"/>
      <c r="BV163" s="87"/>
      <c r="BW163" s="87"/>
      <c r="BX163" s="87"/>
      <c r="BY163" s="87"/>
      <c r="BZ163" s="87"/>
      <c r="CA163" s="87"/>
      <c r="CB163" s="87"/>
      <c r="CC163" s="87"/>
      <c r="CD163" s="87"/>
      <c r="CE163" s="87"/>
      <c r="CF163" s="87"/>
      <c r="CG163" s="88"/>
      <c r="CH163" s="85"/>
      <c r="CI163" s="86"/>
      <c r="CJ163" s="86"/>
      <c r="CK163" s="86"/>
      <c r="CL163" s="87"/>
      <c r="CM163" s="87"/>
      <c r="CN163" s="87"/>
      <c r="CO163" s="87"/>
      <c r="CP163" s="87"/>
      <c r="CQ163" s="87"/>
      <c r="CR163" s="87"/>
      <c r="CS163" s="87"/>
      <c r="CT163" s="87"/>
      <c r="CU163" s="87"/>
      <c r="CV163" s="87"/>
      <c r="CW163" s="87"/>
      <c r="CX163" s="87"/>
      <c r="CY163" s="87"/>
      <c r="CZ163" s="88"/>
      <c r="DA163" s="85"/>
      <c r="DB163" s="86"/>
      <c r="DC163" s="86"/>
      <c r="DD163" s="86"/>
      <c r="DE163" s="87"/>
      <c r="DF163" s="87"/>
      <c r="DG163" s="87"/>
      <c r="DH163" s="87"/>
      <c r="DI163" s="87"/>
      <c r="DJ163" s="87"/>
      <c r="DK163" s="87"/>
      <c r="DL163" s="87"/>
      <c r="DM163" s="87"/>
      <c r="DN163" s="87"/>
      <c r="DO163" s="87"/>
      <c r="DP163" s="87"/>
      <c r="DQ163" s="87"/>
      <c r="DR163" s="87"/>
      <c r="DS163" s="88"/>
      <c r="DT163" s="85"/>
      <c r="DU163" s="86"/>
      <c r="DV163" s="86"/>
      <c r="DW163" s="86"/>
      <c r="DX163" s="87"/>
      <c r="DY163" s="87"/>
      <c r="DZ163" s="87"/>
      <c r="EA163" s="87"/>
      <c r="EB163" s="87"/>
      <c r="EC163" s="87"/>
      <c r="ED163" s="87"/>
      <c r="EE163" s="87"/>
      <c r="EF163" s="87"/>
      <c r="EG163" s="87"/>
      <c r="EH163" s="87"/>
      <c r="EI163" s="87"/>
      <c r="EJ163" s="87"/>
      <c r="EK163" s="87"/>
      <c r="EL163" s="88"/>
      <c r="EM163" s="85"/>
      <c r="EN163" s="86"/>
      <c r="EO163" s="86"/>
      <c r="EP163" s="86"/>
      <c r="EQ163" s="87"/>
      <c r="ER163" s="87"/>
      <c r="ES163" s="87"/>
      <c r="ET163" s="87"/>
      <c r="EU163" s="87"/>
      <c r="EV163" s="87"/>
      <c r="EW163" s="87"/>
      <c r="EX163" s="87"/>
      <c r="EY163" s="87"/>
      <c r="EZ163" s="87"/>
      <c r="FA163" s="87"/>
      <c r="FB163" s="87"/>
      <c r="FC163" s="87"/>
      <c r="FD163" s="87"/>
      <c r="FE163" s="89"/>
    </row>
    <row r="164" spans="2:161" s="6" customFormat="1" ht="13.2" hidden="1">
      <c r="B164" s="108" t="s">
        <v>296</v>
      </c>
      <c r="C164" s="110" t="s">
        <v>297</v>
      </c>
      <c r="D164" s="81">
        <f t="shared" si="77"/>
        <v>0</v>
      </c>
      <c r="E164" s="82">
        <f t="shared" si="78"/>
        <v>0</v>
      </c>
      <c r="F164" s="83">
        <f t="shared" si="78"/>
        <v>0</v>
      </c>
      <c r="G164" s="83">
        <f t="shared" si="78"/>
        <v>0</v>
      </c>
      <c r="H164" s="83">
        <f t="shared" si="78"/>
        <v>0</v>
      </c>
      <c r="I164" s="84">
        <f t="shared" si="78"/>
        <v>0</v>
      </c>
      <c r="J164" s="84">
        <f t="shared" si="78"/>
        <v>0</v>
      </c>
      <c r="K164" s="84">
        <f t="shared" si="78"/>
        <v>0</v>
      </c>
      <c r="L164" s="84">
        <f t="shared" si="78"/>
        <v>0</v>
      </c>
      <c r="M164" s="84">
        <f t="shared" si="78"/>
        <v>0</v>
      </c>
      <c r="N164" s="84">
        <f t="shared" si="78"/>
        <v>0</v>
      </c>
      <c r="O164" s="84">
        <f t="shared" si="78"/>
        <v>0</v>
      </c>
      <c r="P164" s="84">
        <f t="shared" si="78"/>
        <v>0</v>
      </c>
      <c r="Q164" s="84">
        <f t="shared" si="78"/>
        <v>0</v>
      </c>
      <c r="R164" s="84">
        <f t="shared" si="78"/>
        <v>0</v>
      </c>
      <c r="S164" s="84">
        <f t="shared" si="78"/>
        <v>0</v>
      </c>
      <c r="T164" s="84">
        <f t="shared" si="78"/>
        <v>0</v>
      </c>
      <c r="U164" s="84">
        <f t="shared" si="79"/>
        <v>0</v>
      </c>
      <c r="V164" s="84">
        <f t="shared" si="79"/>
        <v>0</v>
      </c>
      <c r="W164" s="84">
        <f>SIS064_F_Rinkostyrimusa1Elektrosenergi5</f>
        <v>0</v>
      </c>
      <c r="X164" s="84">
        <f>SUM(SIS062_F_Rinkostyrimusa1Geriamojovande1,SIS063_F_Rinkostyrimusa1Geriamojovande1,SIS065_F_Rinkostyrimusa1Geriamojovande1)</f>
        <v>0</v>
      </c>
      <c r="Y164" s="84">
        <f>SUM(SIS062_F_Rinkostyrimusa1Paslaugaproduk8,SIS063_F_Rinkostyrimusa1Paslaugaproduk8,SIS065_F_Rinkostyrimusa1Paslaugaproduk8)</f>
        <v>0</v>
      </c>
      <c r="Z164" s="84">
        <f>SIS064_F_Rinkostyrimusa1Elektrosenergi6</f>
        <v>0</v>
      </c>
      <c r="AA164" s="84">
        <f>SUM(SIS062_F_Rinkostyrimusa1Konkurencinesi1,SIS063_F_Rinkostyrimusa1Konkurencinesi1,SIS065_F_Rinkostyrimusa1Konkurencinesi1,)</f>
        <v>0</v>
      </c>
      <c r="AB164" s="84">
        <f>SUM(SIS062_F_Rinkostyrimusa1Paslaugaproduk9,SIS063_F_Rinkostyrimusa1Paslaugaproduk9,SIS065_F_Rinkostyrimusa1Paslaugaproduk9)</f>
        <v>0</v>
      </c>
      <c r="AC164" s="85">
        <v>0</v>
      </c>
      <c r="AD164" s="86">
        <v>0</v>
      </c>
      <c r="AE164" s="86">
        <v>0</v>
      </c>
      <c r="AF164" s="86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8">
        <v>0</v>
      </c>
      <c r="AV164" s="85">
        <v>0</v>
      </c>
      <c r="AW164" s="86">
        <v>0</v>
      </c>
      <c r="AX164" s="86">
        <v>0</v>
      </c>
      <c r="AY164" s="86">
        <v>0</v>
      </c>
      <c r="AZ164" s="87"/>
      <c r="BA164" s="87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8"/>
      <c r="BO164" s="85"/>
      <c r="BP164" s="86"/>
      <c r="BQ164" s="86"/>
      <c r="BR164" s="86"/>
      <c r="BS164" s="87"/>
      <c r="BT164" s="87"/>
      <c r="BU164" s="87"/>
      <c r="BV164" s="87"/>
      <c r="BW164" s="87"/>
      <c r="BX164" s="87"/>
      <c r="BY164" s="87"/>
      <c r="BZ164" s="87"/>
      <c r="CA164" s="87"/>
      <c r="CB164" s="87"/>
      <c r="CC164" s="87"/>
      <c r="CD164" s="87"/>
      <c r="CE164" s="87"/>
      <c r="CF164" s="87"/>
      <c r="CG164" s="88"/>
      <c r="CH164" s="85"/>
      <c r="CI164" s="86"/>
      <c r="CJ164" s="86"/>
      <c r="CK164" s="86"/>
      <c r="CL164" s="87"/>
      <c r="CM164" s="87"/>
      <c r="CN164" s="87"/>
      <c r="CO164" s="87"/>
      <c r="CP164" s="87"/>
      <c r="CQ164" s="87"/>
      <c r="CR164" s="87"/>
      <c r="CS164" s="87"/>
      <c r="CT164" s="87"/>
      <c r="CU164" s="87"/>
      <c r="CV164" s="87"/>
      <c r="CW164" s="87"/>
      <c r="CX164" s="87"/>
      <c r="CY164" s="87"/>
      <c r="CZ164" s="88"/>
      <c r="DA164" s="85"/>
      <c r="DB164" s="86"/>
      <c r="DC164" s="86"/>
      <c r="DD164" s="86"/>
      <c r="DE164" s="87"/>
      <c r="DF164" s="87"/>
      <c r="DG164" s="87"/>
      <c r="DH164" s="87"/>
      <c r="DI164" s="87"/>
      <c r="DJ164" s="87"/>
      <c r="DK164" s="87"/>
      <c r="DL164" s="87"/>
      <c r="DM164" s="87"/>
      <c r="DN164" s="87"/>
      <c r="DO164" s="87"/>
      <c r="DP164" s="87"/>
      <c r="DQ164" s="87"/>
      <c r="DR164" s="87"/>
      <c r="DS164" s="88"/>
      <c r="DT164" s="85"/>
      <c r="DU164" s="86"/>
      <c r="DV164" s="86"/>
      <c r="DW164" s="86"/>
      <c r="DX164" s="87"/>
      <c r="DY164" s="87"/>
      <c r="DZ164" s="87"/>
      <c r="EA164" s="87"/>
      <c r="EB164" s="87"/>
      <c r="EC164" s="87"/>
      <c r="ED164" s="87"/>
      <c r="EE164" s="87"/>
      <c r="EF164" s="87"/>
      <c r="EG164" s="87"/>
      <c r="EH164" s="87"/>
      <c r="EI164" s="87"/>
      <c r="EJ164" s="87"/>
      <c r="EK164" s="87"/>
      <c r="EL164" s="88"/>
      <c r="EM164" s="85"/>
      <c r="EN164" s="86"/>
      <c r="EO164" s="86"/>
      <c r="EP164" s="86"/>
      <c r="EQ164" s="87"/>
      <c r="ER164" s="87"/>
      <c r="ES164" s="87"/>
      <c r="ET164" s="87"/>
      <c r="EU164" s="87"/>
      <c r="EV164" s="87"/>
      <c r="EW164" s="87"/>
      <c r="EX164" s="87"/>
      <c r="EY164" s="87"/>
      <c r="EZ164" s="87"/>
      <c r="FA164" s="87"/>
      <c r="FB164" s="87"/>
      <c r="FC164" s="87"/>
      <c r="FD164" s="87"/>
      <c r="FE164" s="89"/>
    </row>
    <row r="165" spans="2:161" s="6" customFormat="1" ht="13.2">
      <c r="B165" s="108" t="s">
        <v>298</v>
      </c>
      <c r="C165" s="110" t="s">
        <v>299</v>
      </c>
      <c r="D165" s="81">
        <f t="shared" si="77"/>
        <v>4051.55</v>
      </c>
      <c r="E165" s="82">
        <f t="shared" si="78"/>
        <v>0</v>
      </c>
      <c r="F165" s="83">
        <f t="shared" si="78"/>
        <v>0</v>
      </c>
      <c r="G165" s="83">
        <f t="shared" si="78"/>
        <v>0</v>
      </c>
      <c r="H165" s="83">
        <f t="shared" si="78"/>
        <v>0</v>
      </c>
      <c r="I165" s="84">
        <f t="shared" si="78"/>
        <v>0</v>
      </c>
      <c r="J165" s="84">
        <f t="shared" si="78"/>
        <v>0</v>
      </c>
      <c r="K165" s="84">
        <f t="shared" si="78"/>
        <v>0</v>
      </c>
      <c r="L165" s="84">
        <f t="shared" si="78"/>
        <v>0</v>
      </c>
      <c r="M165" s="84">
        <f t="shared" si="78"/>
        <v>4051.55</v>
      </c>
      <c r="N165" s="84">
        <f t="shared" si="78"/>
        <v>0</v>
      </c>
      <c r="O165" s="84">
        <f t="shared" si="78"/>
        <v>0</v>
      </c>
      <c r="P165" s="84">
        <f t="shared" si="78"/>
        <v>0</v>
      </c>
      <c r="Q165" s="84">
        <f t="shared" si="78"/>
        <v>0</v>
      </c>
      <c r="R165" s="84">
        <f t="shared" si="78"/>
        <v>0</v>
      </c>
      <c r="S165" s="84">
        <f t="shared" si="78"/>
        <v>0</v>
      </c>
      <c r="T165" s="84">
        <f t="shared" si="78"/>
        <v>0</v>
      </c>
      <c r="U165" s="84">
        <f t="shared" si="79"/>
        <v>0</v>
      </c>
      <c r="V165" s="84">
        <f t="shared" si="79"/>
        <v>0</v>
      </c>
      <c r="W165" s="84">
        <f>SIS064_F_Saskaituvartot1Elektrosenergi5</f>
        <v>0</v>
      </c>
      <c r="X165" s="84">
        <f>SUM(SIS062_F_Saskaituvartot1Geriamojovande1,SIS063_F_Saskaituvartot1Geriamojovande1,SIS065_F_Saskaituvartot1Geriamojovande1)</f>
        <v>0</v>
      </c>
      <c r="Y165" s="84">
        <f>SUM(SIS062_F_Saskaituvartot1Paslaugaproduk8,SIS063_F_Saskaituvartot1Paslaugaproduk8,SIS065_F_Saskaituvartot1Paslaugaproduk8)</f>
        <v>0</v>
      </c>
      <c r="Z165" s="84">
        <f>SIS064_F_Saskaituvartot1Elektrosenergi6</f>
        <v>0</v>
      </c>
      <c r="AA165" s="84">
        <f>SUM(SIS062_F_Saskaituvartot1Konkurencinesi1,SIS063_F_Saskaituvartot1Konkurencinesi1,SIS065_F_Saskaituvartot1Konkurencinesi1,)</f>
        <v>0</v>
      </c>
      <c r="AB165" s="84">
        <f>SUM(SIS062_F_Saskaituvartot1Paslaugaproduk9,SIS063_F_Saskaituvartot1Paslaugaproduk9,SIS065_F_Saskaituvartot1Paslaugaproduk9)</f>
        <v>0</v>
      </c>
      <c r="AC165" s="85">
        <v>0</v>
      </c>
      <c r="AD165" s="86">
        <v>0</v>
      </c>
      <c r="AE165" s="86">
        <v>0</v>
      </c>
      <c r="AF165" s="86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4051.55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8">
        <v>0</v>
      </c>
      <c r="AV165" s="85">
        <v>0</v>
      </c>
      <c r="AW165" s="86">
        <v>0</v>
      </c>
      <c r="AX165" s="86">
        <v>0</v>
      </c>
      <c r="AY165" s="86">
        <v>0</v>
      </c>
      <c r="AZ165" s="87"/>
      <c r="BA165" s="87"/>
      <c r="BB165" s="87"/>
      <c r="BC165" s="87"/>
      <c r="BD165" s="87"/>
      <c r="BE165" s="87"/>
      <c r="BF165" s="87"/>
      <c r="BG165" s="87"/>
      <c r="BH165" s="87"/>
      <c r="BI165" s="87"/>
      <c r="BJ165" s="87"/>
      <c r="BK165" s="87"/>
      <c r="BL165" s="87"/>
      <c r="BM165" s="87"/>
      <c r="BN165" s="88"/>
      <c r="BO165" s="85"/>
      <c r="BP165" s="86"/>
      <c r="BQ165" s="86"/>
      <c r="BR165" s="86"/>
      <c r="BS165" s="87"/>
      <c r="BT165" s="87"/>
      <c r="BU165" s="87"/>
      <c r="BV165" s="87"/>
      <c r="BW165" s="87"/>
      <c r="BX165" s="87"/>
      <c r="BY165" s="87"/>
      <c r="BZ165" s="87"/>
      <c r="CA165" s="87"/>
      <c r="CB165" s="87"/>
      <c r="CC165" s="87"/>
      <c r="CD165" s="87"/>
      <c r="CE165" s="87"/>
      <c r="CF165" s="87"/>
      <c r="CG165" s="88"/>
      <c r="CH165" s="85"/>
      <c r="CI165" s="86"/>
      <c r="CJ165" s="86"/>
      <c r="CK165" s="86"/>
      <c r="CL165" s="87"/>
      <c r="CM165" s="87"/>
      <c r="CN165" s="87"/>
      <c r="CO165" s="87"/>
      <c r="CP165" s="87"/>
      <c r="CQ165" s="87"/>
      <c r="CR165" s="87"/>
      <c r="CS165" s="87"/>
      <c r="CT165" s="87"/>
      <c r="CU165" s="87"/>
      <c r="CV165" s="87"/>
      <c r="CW165" s="87"/>
      <c r="CX165" s="87"/>
      <c r="CY165" s="87"/>
      <c r="CZ165" s="88"/>
      <c r="DA165" s="85"/>
      <c r="DB165" s="86"/>
      <c r="DC165" s="86"/>
      <c r="DD165" s="86"/>
      <c r="DE165" s="87"/>
      <c r="DF165" s="87"/>
      <c r="DG165" s="87"/>
      <c r="DH165" s="87"/>
      <c r="DI165" s="87"/>
      <c r="DJ165" s="87"/>
      <c r="DK165" s="87"/>
      <c r="DL165" s="87"/>
      <c r="DM165" s="87"/>
      <c r="DN165" s="87"/>
      <c r="DO165" s="87"/>
      <c r="DP165" s="87"/>
      <c r="DQ165" s="87"/>
      <c r="DR165" s="87"/>
      <c r="DS165" s="88"/>
      <c r="DT165" s="85"/>
      <c r="DU165" s="86"/>
      <c r="DV165" s="86"/>
      <c r="DW165" s="86"/>
      <c r="DX165" s="87"/>
      <c r="DY165" s="87"/>
      <c r="DZ165" s="87"/>
      <c r="EA165" s="87"/>
      <c r="EB165" s="87"/>
      <c r="EC165" s="87"/>
      <c r="ED165" s="87"/>
      <c r="EE165" s="87"/>
      <c r="EF165" s="87"/>
      <c r="EG165" s="87"/>
      <c r="EH165" s="87"/>
      <c r="EI165" s="87"/>
      <c r="EJ165" s="87"/>
      <c r="EK165" s="87"/>
      <c r="EL165" s="88"/>
      <c r="EM165" s="85"/>
      <c r="EN165" s="86"/>
      <c r="EO165" s="86"/>
      <c r="EP165" s="86"/>
      <c r="EQ165" s="87"/>
      <c r="ER165" s="87"/>
      <c r="ES165" s="87"/>
      <c r="ET165" s="87"/>
      <c r="EU165" s="87"/>
      <c r="EV165" s="87"/>
      <c r="EW165" s="87"/>
      <c r="EX165" s="87"/>
      <c r="EY165" s="87"/>
      <c r="EZ165" s="87"/>
      <c r="FA165" s="87"/>
      <c r="FB165" s="87"/>
      <c r="FC165" s="87"/>
      <c r="FD165" s="87"/>
      <c r="FE165" s="89"/>
    </row>
    <row r="166" spans="2:161" s="6" customFormat="1" ht="13.2">
      <c r="B166" s="108" t="s">
        <v>300</v>
      </c>
      <c r="C166" s="110" t="s">
        <v>301</v>
      </c>
      <c r="D166" s="81">
        <f t="shared" si="77"/>
        <v>4868.0200000000013</v>
      </c>
      <c r="E166" s="82">
        <f t="shared" si="78"/>
        <v>2567.42</v>
      </c>
      <c r="F166" s="83">
        <f t="shared" si="78"/>
        <v>0</v>
      </c>
      <c r="G166" s="83">
        <f t="shared" si="78"/>
        <v>0</v>
      </c>
      <c r="H166" s="83">
        <f t="shared" si="78"/>
        <v>0</v>
      </c>
      <c r="I166" s="84">
        <f t="shared" si="78"/>
        <v>0</v>
      </c>
      <c r="J166" s="84">
        <f t="shared" si="78"/>
        <v>1515.68</v>
      </c>
      <c r="K166" s="84">
        <f t="shared" si="78"/>
        <v>0</v>
      </c>
      <c r="L166" s="84">
        <f t="shared" si="78"/>
        <v>0</v>
      </c>
      <c r="M166" s="84">
        <f t="shared" si="78"/>
        <v>44.35</v>
      </c>
      <c r="N166" s="84">
        <f t="shared" si="78"/>
        <v>276.06</v>
      </c>
      <c r="O166" s="84">
        <f t="shared" si="78"/>
        <v>0</v>
      </c>
      <c r="P166" s="84">
        <f t="shared" si="78"/>
        <v>43.44</v>
      </c>
      <c r="Q166" s="84">
        <f t="shared" si="78"/>
        <v>0</v>
      </c>
      <c r="R166" s="84">
        <f t="shared" si="78"/>
        <v>0</v>
      </c>
      <c r="S166" s="84">
        <f t="shared" si="78"/>
        <v>277.85000000000002</v>
      </c>
      <c r="T166" s="84">
        <f t="shared" si="78"/>
        <v>0</v>
      </c>
      <c r="U166" s="84">
        <f t="shared" si="79"/>
        <v>0</v>
      </c>
      <c r="V166" s="84">
        <f t="shared" si="79"/>
        <v>0</v>
      </c>
      <c r="W166" s="84">
        <f>SIS064_F_Vartotojumokej1Elektrosenergi5</f>
        <v>0</v>
      </c>
      <c r="X166" s="84">
        <f>SUM(SIS062_F_Vartotojumokej1Geriamojovande1,SIS063_F_Vartotojumokej1Geriamojovande1,SIS065_F_Vartotojumokej1Geriamojovande1)</f>
        <v>0</v>
      </c>
      <c r="Y166" s="84">
        <f>SUM(SIS062_F_Vartotojumokej1Paslaugaproduk8,SIS063_F_Vartotojumokej1Paslaugaproduk8,SIS065_F_Vartotojumokej1Paslaugaproduk8)</f>
        <v>0</v>
      </c>
      <c r="Z166" s="84">
        <f>SIS064_F_Vartotojumokej1Elektrosenergi6</f>
        <v>0</v>
      </c>
      <c r="AA166" s="84">
        <f>SUM(SIS062_F_Vartotojumokej1Konkurencinesi1,SIS063_F_Vartotojumokej1Konkurencinesi1,SIS065_F_Vartotojumokej1Konkurencinesi1,)</f>
        <v>0</v>
      </c>
      <c r="AB166" s="84">
        <f>SUM(SIS062_F_Vartotojumokej1Paslaugaproduk9,SIS063_F_Vartotojumokej1Paslaugaproduk9,SIS065_F_Vartotojumokej1Paslaugaproduk9)</f>
        <v>143.22</v>
      </c>
      <c r="AC166" s="85">
        <v>2567.42</v>
      </c>
      <c r="AD166" s="86">
        <v>0</v>
      </c>
      <c r="AE166" s="86">
        <v>0</v>
      </c>
      <c r="AF166" s="86">
        <v>0</v>
      </c>
      <c r="AG166" s="87">
        <v>0</v>
      </c>
      <c r="AH166" s="87">
        <v>1515.68</v>
      </c>
      <c r="AI166" s="87">
        <v>0</v>
      </c>
      <c r="AJ166" s="87">
        <v>0</v>
      </c>
      <c r="AK166" s="87">
        <v>44.35</v>
      </c>
      <c r="AL166" s="87">
        <v>276.06</v>
      </c>
      <c r="AM166" s="87">
        <v>0</v>
      </c>
      <c r="AN166" s="87">
        <v>43.44</v>
      </c>
      <c r="AO166" s="87">
        <v>0</v>
      </c>
      <c r="AP166" s="87">
        <v>0</v>
      </c>
      <c r="AQ166" s="87">
        <v>277.85000000000002</v>
      </c>
      <c r="AR166" s="87">
        <v>0</v>
      </c>
      <c r="AS166" s="87">
        <v>0</v>
      </c>
      <c r="AT166" s="87">
        <v>0</v>
      </c>
      <c r="AU166" s="88">
        <v>0</v>
      </c>
      <c r="AV166" s="85">
        <v>0</v>
      </c>
      <c r="AW166" s="86">
        <v>0</v>
      </c>
      <c r="AX166" s="86">
        <v>0</v>
      </c>
      <c r="AY166" s="86">
        <v>0</v>
      </c>
      <c r="AZ166" s="87"/>
      <c r="BA166" s="87"/>
      <c r="BB166" s="87"/>
      <c r="BC166" s="87"/>
      <c r="BD166" s="87"/>
      <c r="BE166" s="87"/>
      <c r="BF166" s="87"/>
      <c r="BG166" s="87"/>
      <c r="BH166" s="87"/>
      <c r="BI166" s="87"/>
      <c r="BJ166" s="87"/>
      <c r="BK166" s="87"/>
      <c r="BL166" s="87"/>
      <c r="BM166" s="87"/>
      <c r="BN166" s="88"/>
      <c r="BO166" s="85"/>
      <c r="BP166" s="86"/>
      <c r="BQ166" s="86"/>
      <c r="BR166" s="86"/>
      <c r="BS166" s="87"/>
      <c r="BT166" s="87"/>
      <c r="BU166" s="87"/>
      <c r="BV166" s="87"/>
      <c r="BW166" s="87"/>
      <c r="BX166" s="87"/>
      <c r="BY166" s="87"/>
      <c r="BZ166" s="87"/>
      <c r="CA166" s="87"/>
      <c r="CB166" s="87"/>
      <c r="CC166" s="87"/>
      <c r="CD166" s="87"/>
      <c r="CE166" s="87"/>
      <c r="CF166" s="87"/>
      <c r="CG166" s="88"/>
      <c r="CH166" s="85"/>
      <c r="CI166" s="86"/>
      <c r="CJ166" s="86"/>
      <c r="CK166" s="86"/>
      <c r="CL166" s="87"/>
      <c r="CM166" s="87"/>
      <c r="CN166" s="87"/>
      <c r="CO166" s="87"/>
      <c r="CP166" s="87"/>
      <c r="CQ166" s="87"/>
      <c r="CR166" s="87"/>
      <c r="CS166" s="87"/>
      <c r="CT166" s="87"/>
      <c r="CU166" s="87"/>
      <c r="CV166" s="87"/>
      <c r="CW166" s="87"/>
      <c r="CX166" s="87"/>
      <c r="CY166" s="87"/>
      <c r="CZ166" s="88"/>
      <c r="DA166" s="85"/>
      <c r="DB166" s="86"/>
      <c r="DC166" s="86"/>
      <c r="DD166" s="86"/>
      <c r="DE166" s="87"/>
      <c r="DF166" s="87"/>
      <c r="DG166" s="87"/>
      <c r="DH166" s="87"/>
      <c r="DI166" s="87"/>
      <c r="DJ166" s="87"/>
      <c r="DK166" s="87"/>
      <c r="DL166" s="87"/>
      <c r="DM166" s="87"/>
      <c r="DN166" s="87"/>
      <c r="DO166" s="87"/>
      <c r="DP166" s="87"/>
      <c r="DQ166" s="87"/>
      <c r="DR166" s="87"/>
      <c r="DS166" s="88"/>
      <c r="DT166" s="85"/>
      <c r="DU166" s="86"/>
      <c r="DV166" s="86"/>
      <c r="DW166" s="86"/>
      <c r="DX166" s="87"/>
      <c r="DY166" s="87"/>
      <c r="DZ166" s="87"/>
      <c r="EA166" s="87"/>
      <c r="EB166" s="87"/>
      <c r="EC166" s="87"/>
      <c r="ED166" s="87"/>
      <c r="EE166" s="87"/>
      <c r="EF166" s="87"/>
      <c r="EG166" s="87"/>
      <c r="EH166" s="87"/>
      <c r="EI166" s="87"/>
      <c r="EJ166" s="87"/>
      <c r="EK166" s="87"/>
      <c r="EL166" s="88"/>
      <c r="EM166" s="85"/>
      <c r="EN166" s="86"/>
      <c r="EO166" s="86"/>
      <c r="EP166" s="86"/>
      <c r="EQ166" s="87"/>
      <c r="ER166" s="87"/>
      <c r="ES166" s="87"/>
      <c r="ET166" s="87"/>
      <c r="EU166" s="87"/>
      <c r="EV166" s="87"/>
      <c r="EW166" s="87"/>
      <c r="EX166" s="87"/>
      <c r="EY166" s="87"/>
      <c r="EZ166" s="87"/>
      <c r="FA166" s="87"/>
      <c r="FB166" s="87"/>
      <c r="FC166" s="87"/>
      <c r="FD166" s="87"/>
      <c r="FE166" s="89"/>
    </row>
    <row r="167" spans="2:161" s="6" customFormat="1" ht="13.2">
      <c r="B167" s="108" t="s">
        <v>302</v>
      </c>
      <c r="C167" s="110" t="s">
        <v>303</v>
      </c>
      <c r="D167" s="81">
        <f t="shared" si="77"/>
        <v>0</v>
      </c>
      <c r="E167" s="82">
        <f t="shared" si="78"/>
        <v>0</v>
      </c>
      <c r="F167" s="83">
        <f t="shared" si="78"/>
        <v>0</v>
      </c>
      <c r="G167" s="83">
        <f t="shared" si="78"/>
        <v>0</v>
      </c>
      <c r="H167" s="83">
        <f t="shared" si="78"/>
        <v>0</v>
      </c>
      <c r="I167" s="84">
        <f t="shared" si="78"/>
        <v>0</v>
      </c>
      <c r="J167" s="84">
        <f t="shared" si="78"/>
        <v>0</v>
      </c>
      <c r="K167" s="84">
        <f t="shared" si="78"/>
        <v>0</v>
      </c>
      <c r="L167" s="84">
        <f t="shared" si="78"/>
        <v>0</v>
      </c>
      <c r="M167" s="84">
        <f t="shared" si="78"/>
        <v>0</v>
      </c>
      <c r="N167" s="84">
        <f t="shared" si="78"/>
        <v>0</v>
      </c>
      <c r="O167" s="84">
        <f t="shared" si="78"/>
        <v>0</v>
      </c>
      <c r="P167" s="84">
        <f t="shared" si="78"/>
        <v>0</v>
      </c>
      <c r="Q167" s="84">
        <f t="shared" si="78"/>
        <v>0</v>
      </c>
      <c r="R167" s="84">
        <f t="shared" si="78"/>
        <v>0</v>
      </c>
      <c r="S167" s="84">
        <f t="shared" si="78"/>
        <v>0</v>
      </c>
      <c r="T167" s="84">
        <f t="shared" si="78"/>
        <v>0</v>
      </c>
      <c r="U167" s="84">
        <f t="shared" si="79"/>
        <v>0</v>
      </c>
      <c r="V167" s="84">
        <f t="shared" si="79"/>
        <v>0</v>
      </c>
      <c r="W167" s="84">
        <f>SIS064_F_Reprezentacijo1Elektrosenergi5</f>
        <v>0</v>
      </c>
      <c r="X167" s="84">
        <f>SUM(SIS062_F_Reprezentacijo1Geriamojovande1,SIS063_F_Reprezentacijo1Geriamojovande1,SIS065_F_Reprezentacijo1Geriamojovande1)</f>
        <v>0</v>
      </c>
      <c r="Y167" s="84">
        <f>SUM(SIS062_F_Reprezentacijo1Paslaugaproduk8,SIS063_F_Reprezentacijo1Paslaugaproduk8,SIS065_F_Reprezentacijo1Paslaugaproduk8)</f>
        <v>0</v>
      </c>
      <c r="Z167" s="84">
        <f>SIS064_F_Reprezentacijo1Elektrosenergi6</f>
        <v>0</v>
      </c>
      <c r="AA167" s="84">
        <f>SUM(SIS062_F_Reprezentacijo1Konkurencinesi1,SIS063_F_Reprezentacijo1Konkurencinesi1,SIS065_F_Reprezentacijo1Konkurencinesi1,)</f>
        <v>0</v>
      </c>
      <c r="AB167" s="84">
        <f>SUM(SIS062_F_Reprezentacijo1Paslaugaproduk9,SIS063_F_Reprezentacijo1Paslaugaproduk9,SIS065_F_Reprezentacijo1Paslaugaproduk9)</f>
        <v>0</v>
      </c>
      <c r="AC167" s="85">
        <v>0</v>
      </c>
      <c r="AD167" s="86">
        <v>0</v>
      </c>
      <c r="AE167" s="86">
        <v>0</v>
      </c>
      <c r="AF167" s="86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8">
        <v>0</v>
      </c>
      <c r="AV167" s="85">
        <v>0</v>
      </c>
      <c r="AW167" s="86">
        <v>0</v>
      </c>
      <c r="AX167" s="86">
        <v>0</v>
      </c>
      <c r="AY167" s="86">
        <v>0</v>
      </c>
      <c r="AZ167" s="87"/>
      <c r="BA167" s="87"/>
      <c r="BB167" s="87"/>
      <c r="BC167" s="87"/>
      <c r="BD167" s="87"/>
      <c r="BE167" s="87"/>
      <c r="BF167" s="87"/>
      <c r="BG167" s="87"/>
      <c r="BH167" s="87"/>
      <c r="BI167" s="87"/>
      <c r="BJ167" s="87"/>
      <c r="BK167" s="87"/>
      <c r="BL167" s="87"/>
      <c r="BM167" s="87"/>
      <c r="BN167" s="88"/>
      <c r="BO167" s="85"/>
      <c r="BP167" s="86"/>
      <c r="BQ167" s="86"/>
      <c r="BR167" s="86"/>
      <c r="BS167" s="87"/>
      <c r="BT167" s="87"/>
      <c r="BU167" s="87"/>
      <c r="BV167" s="87"/>
      <c r="BW167" s="87"/>
      <c r="BX167" s="87"/>
      <c r="BY167" s="87"/>
      <c r="BZ167" s="87"/>
      <c r="CA167" s="87"/>
      <c r="CB167" s="87"/>
      <c r="CC167" s="87"/>
      <c r="CD167" s="87"/>
      <c r="CE167" s="87"/>
      <c r="CF167" s="87"/>
      <c r="CG167" s="88"/>
      <c r="CH167" s="85"/>
      <c r="CI167" s="86"/>
      <c r="CJ167" s="86"/>
      <c r="CK167" s="86"/>
      <c r="CL167" s="87"/>
      <c r="CM167" s="87"/>
      <c r="CN167" s="87"/>
      <c r="CO167" s="87"/>
      <c r="CP167" s="87"/>
      <c r="CQ167" s="87"/>
      <c r="CR167" s="87"/>
      <c r="CS167" s="87"/>
      <c r="CT167" s="87"/>
      <c r="CU167" s="87"/>
      <c r="CV167" s="87"/>
      <c r="CW167" s="87"/>
      <c r="CX167" s="87"/>
      <c r="CY167" s="87"/>
      <c r="CZ167" s="88"/>
      <c r="DA167" s="85"/>
      <c r="DB167" s="86"/>
      <c r="DC167" s="86"/>
      <c r="DD167" s="86"/>
      <c r="DE167" s="87"/>
      <c r="DF167" s="87"/>
      <c r="DG167" s="87"/>
      <c r="DH167" s="87"/>
      <c r="DI167" s="87"/>
      <c r="DJ167" s="87"/>
      <c r="DK167" s="87"/>
      <c r="DL167" s="87"/>
      <c r="DM167" s="87"/>
      <c r="DN167" s="87"/>
      <c r="DO167" s="87"/>
      <c r="DP167" s="87"/>
      <c r="DQ167" s="87"/>
      <c r="DR167" s="87"/>
      <c r="DS167" s="88"/>
      <c r="DT167" s="85"/>
      <c r="DU167" s="86"/>
      <c r="DV167" s="86"/>
      <c r="DW167" s="86"/>
      <c r="DX167" s="87"/>
      <c r="DY167" s="87"/>
      <c r="DZ167" s="87"/>
      <c r="EA167" s="87"/>
      <c r="EB167" s="87"/>
      <c r="EC167" s="87"/>
      <c r="ED167" s="87"/>
      <c r="EE167" s="87"/>
      <c r="EF167" s="87"/>
      <c r="EG167" s="87"/>
      <c r="EH167" s="87"/>
      <c r="EI167" s="87"/>
      <c r="EJ167" s="87"/>
      <c r="EK167" s="87"/>
      <c r="EL167" s="88"/>
      <c r="EM167" s="85"/>
      <c r="EN167" s="86"/>
      <c r="EO167" s="86"/>
      <c r="EP167" s="86"/>
      <c r="EQ167" s="87"/>
      <c r="ER167" s="87"/>
      <c r="ES167" s="87"/>
      <c r="ET167" s="87"/>
      <c r="EU167" s="87"/>
      <c r="EV167" s="87"/>
      <c r="EW167" s="87"/>
      <c r="EX167" s="87"/>
      <c r="EY167" s="87"/>
      <c r="EZ167" s="87"/>
      <c r="FA167" s="87"/>
      <c r="FB167" s="87"/>
      <c r="FC167" s="87"/>
      <c r="FD167" s="87"/>
      <c r="FE167" s="89"/>
    </row>
    <row r="168" spans="2:161" s="6" customFormat="1" ht="15.6">
      <c r="B168" s="108" t="s">
        <v>304</v>
      </c>
      <c r="C168" s="109" t="s">
        <v>305</v>
      </c>
      <c r="D168" s="81">
        <f t="shared" si="77"/>
        <v>0</v>
      </c>
      <c r="E168" s="82">
        <f t="shared" si="78"/>
        <v>0</v>
      </c>
      <c r="F168" s="83">
        <f t="shared" si="78"/>
        <v>0</v>
      </c>
      <c r="G168" s="83">
        <f t="shared" si="78"/>
        <v>0</v>
      </c>
      <c r="H168" s="83">
        <f t="shared" si="78"/>
        <v>0</v>
      </c>
      <c r="I168" s="84">
        <f t="shared" si="78"/>
        <v>0</v>
      </c>
      <c r="J168" s="84">
        <f t="shared" si="78"/>
        <v>0</v>
      </c>
      <c r="K168" s="84">
        <f t="shared" si="78"/>
        <v>0</v>
      </c>
      <c r="L168" s="84">
        <f t="shared" si="78"/>
        <v>0</v>
      </c>
      <c r="M168" s="84">
        <f t="shared" si="78"/>
        <v>0</v>
      </c>
      <c r="N168" s="84">
        <f t="shared" si="78"/>
        <v>0</v>
      </c>
      <c r="O168" s="84">
        <f t="shared" si="78"/>
        <v>0</v>
      </c>
      <c r="P168" s="84">
        <f t="shared" si="78"/>
        <v>0</v>
      </c>
      <c r="Q168" s="84">
        <f t="shared" si="78"/>
        <v>0</v>
      </c>
      <c r="R168" s="84">
        <f t="shared" si="78"/>
        <v>0</v>
      </c>
      <c r="S168" s="84">
        <f t="shared" si="78"/>
        <v>0</v>
      </c>
      <c r="T168" s="84">
        <f t="shared" si="78"/>
        <v>0</v>
      </c>
      <c r="U168" s="84">
        <f t="shared" si="79"/>
        <v>0</v>
      </c>
      <c r="V168" s="84">
        <f t="shared" si="79"/>
        <v>0</v>
      </c>
      <c r="W168" s="84">
        <f>SIS064_F_Svietimoirkons1Elektrosenergi5</f>
        <v>0</v>
      </c>
      <c r="X168" s="84">
        <f>SUM(SIS062_F_Svietimoirkons1Geriamojovande1,SIS063_F_Svietimoirkons1Geriamojovande1,SIS065_F_Svietimoirkons1Geriamojovande1)</f>
        <v>0</v>
      </c>
      <c r="Y168" s="84">
        <f>SUM(SIS062_F_Svietimoirkons1Paslaugaproduk8,SIS063_F_Svietimoirkons1Paslaugaproduk8,SIS065_F_Svietimoirkons1Paslaugaproduk8)</f>
        <v>0</v>
      </c>
      <c r="Z168" s="84">
        <f>SIS064_F_Svietimoirkons1Elektrosenergi6</f>
        <v>0</v>
      </c>
      <c r="AA168" s="84">
        <f>SUM(SIS062_F_Svietimoirkons1Konkurencinesi1,SIS063_F_Svietimoirkons1Konkurencinesi1,SIS065_F_Svietimoirkons1Konkurencinesi1,)</f>
        <v>0</v>
      </c>
      <c r="AB168" s="84">
        <f>SUM(SIS062_F_Svietimoirkons1Paslaugaproduk9,SIS063_F_Svietimoirkons1Paslaugaproduk9,SIS065_F_Svietimoirkons1Paslaugaproduk9)</f>
        <v>0</v>
      </c>
      <c r="AC168" s="85">
        <v>0</v>
      </c>
      <c r="AD168" s="86">
        <v>0</v>
      </c>
      <c r="AE168" s="86">
        <v>0</v>
      </c>
      <c r="AF168" s="86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8">
        <v>0</v>
      </c>
      <c r="AV168" s="85">
        <v>0</v>
      </c>
      <c r="AW168" s="86">
        <v>0</v>
      </c>
      <c r="AX168" s="86">
        <v>0</v>
      </c>
      <c r="AY168" s="86">
        <v>0</v>
      </c>
      <c r="AZ168" s="87"/>
      <c r="BA168" s="87"/>
      <c r="BB168" s="87"/>
      <c r="BC168" s="87"/>
      <c r="BD168" s="87"/>
      <c r="BE168" s="87"/>
      <c r="BF168" s="87"/>
      <c r="BG168" s="87"/>
      <c r="BH168" s="87"/>
      <c r="BI168" s="87"/>
      <c r="BJ168" s="87"/>
      <c r="BK168" s="87"/>
      <c r="BL168" s="87"/>
      <c r="BM168" s="87"/>
      <c r="BN168" s="88"/>
      <c r="BO168" s="85"/>
      <c r="BP168" s="86"/>
      <c r="BQ168" s="86"/>
      <c r="BR168" s="86"/>
      <c r="BS168" s="87"/>
      <c r="BT168" s="87"/>
      <c r="BU168" s="87"/>
      <c r="BV168" s="87"/>
      <c r="BW168" s="87"/>
      <c r="BX168" s="87"/>
      <c r="BY168" s="87"/>
      <c r="BZ168" s="87"/>
      <c r="CA168" s="87"/>
      <c r="CB168" s="87"/>
      <c r="CC168" s="87"/>
      <c r="CD168" s="87"/>
      <c r="CE168" s="87"/>
      <c r="CF168" s="87"/>
      <c r="CG168" s="88"/>
      <c r="CH168" s="85"/>
      <c r="CI168" s="86"/>
      <c r="CJ168" s="86"/>
      <c r="CK168" s="86"/>
      <c r="CL168" s="87"/>
      <c r="CM168" s="87"/>
      <c r="CN168" s="87"/>
      <c r="CO168" s="87"/>
      <c r="CP168" s="87"/>
      <c r="CQ168" s="87"/>
      <c r="CR168" s="87"/>
      <c r="CS168" s="87"/>
      <c r="CT168" s="87"/>
      <c r="CU168" s="87"/>
      <c r="CV168" s="87"/>
      <c r="CW168" s="87"/>
      <c r="CX168" s="87"/>
      <c r="CY168" s="87"/>
      <c r="CZ168" s="88"/>
      <c r="DA168" s="85"/>
      <c r="DB168" s="86"/>
      <c r="DC168" s="86"/>
      <c r="DD168" s="86"/>
      <c r="DE168" s="87"/>
      <c r="DF168" s="87"/>
      <c r="DG168" s="87"/>
      <c r="DH168" s="87"/>
      <c r="DI168" s="87"/>
      <c r="DJ168" s="87"/>
      <c r="DK168" s="87"/>
      <c r="DL168" s="87"/>
      <c r="DM168" s="87"/>
      <c r="DN168" s="87"/>
      <c r="DO168" s="87"/>
      <c r="DP168" s="87"/>
      <c r="DQ168" s="87"/>
      <c r="DR168" s="87"/>
      <c r="DS168" s="88"/>
      <c r="DT168" s="85"/>
      <c r="DU168" s="86"/>
      <c r="DV168" s="86"/>
      <c r="DW168" s="86"/>
      <c r="DX168" s="87"/>
      <c r="DY168" s="87"/>
      <c r="DZ168" s="87"/>
      <c r="EA168" s="87"/>
      <c r="EB168" s="87"/>
      <c r="EC168" s="87"/>
      <c r="ED168" s="87"/>
      <c r="EE168" s="87"/>
      <c r="EF168" s="87"/>
      <c r="EG168" s="87"/>
      <c r="EH168" s="87"/>
      <c r="EI168" s="87"/>
      <c r="EJ168" s="87"/>
      <c r="EK168" s="87"/>
      <c r="EL168" s="88"/>
      <c r="EM168" s="85"/>
      <c r="EN168" s="86"/>
      <c r="EO168" s="86"/>
      <c r="EP168" s="86"/>
      <c r="EQ168" s="87"/>
      <c r="ER168" s="87"/>
      <c r="ES168" s="87"/>
      <c r="ET168" s="87"/>
      <c r="EU168" s="87"/>
      <c r="EV168" s="87"/>
      <c r="EW168" s="87"/>
      <c r="EX168" s="87"/>
      <c r="EY168" s="87"/>
      <c r="EZ168" s="87"/>
      <c r="FA168" s="87"/>
      <c r="FB168" s="87"/>
      <c r="FC168" s="87"/>
      <c r="FD168" s="87"/>
      <c r="FE168" s="89"/>
    </row>
    <row r="169" spans="2:161" s="6" customFormat="1" ht="13.2">
      <c r="B169" s="108" t="s">
        <v>306</v>
      </c>
      <c r="C169" s="109" t="str">
        <f>SIS055_D_Kitosrinkodaro1</f>
        <v>Kitos rinkodaros, pardavimų sąnaudos (nurodyti)</v>
      </c>
      <c r="D169" s="81">
        <f t="shared" si="77"/>
        <v>39.999999999999986</v>
      </c>
      <c r="E169" s="82">
        <f t="shared" si="78"/>
        <v>25.76618917559243</v>
      </c>
      <c r="F169" s="83">
        <f t="shared" si="78"/>
        <v>0</v>
      </c>
      <c r="G169" s="83">
        <f t="shared" si="78"/>
        <v>0</v>
      </c>
      <c r="H169" s="83">
        <f t="shared" si="78"/>
        <v>0</v>
      </c>
      <c r="I169" s="84">
        <f t="shared" si="78"/>
        <v>0</v>
      </c>
      <c r="J169" s="84">
        <f t="shared" si="78"/>
        <v>7.890765709189532</v>
      </c>
      <c r="K169" s="84">
        <f t="shared" si="78"/>
        <v>0</v>
      </c>
      <c r="L169" s="84">
        <f t="shared" si="78"/>
        <v>0</v>
      </c>
      <c r="M169" s="84">
        <f t="shared" si="78"/>
        <v>1.2167281210081768</v>
      </c>
      <c r="N169" s="84">
        <f t="shared" si="78"/>
        <v>1.0111939636159619</v>
      </c>
      <c r="O169" s="84">
        <f t="shared" si="78"/>
        <v>0</v>
      </c>
      <c r="P169" s="84">
        <f t="shared" si="78"/>
        <v>0.82976662534110968</v>
      </c>
      <c r="Q169" s="84">
        <f t="shared" si="78"/>
        <v>0</v>
      </c>
      <c r="R169" s="84">
        <f t="shared" si="78"/>
        <v>0</v>
      </c>
      <c r="S169" s="84">
        <f t="shared" si="78"/>
        <v>3.0036764995203837</v>
      </c>
      <c r="T169" s="84">
        <f t="shared" si="78"/>
        <v>0</v>
      </c>
      <c r="U169" s="84">
        <f t="shared" si="79"/>
        <v>0</v>
      </c>
      <c r="V169" s="84">
        <f t="shared" si="79"/>
        <v>0</v>
      </c>
      <c r="W169" s="84">
        <f>SIS064_F_Kitosrinkodaro1Elektrosenergi5</f>
        <v>0</v>
      </c>
      <c r="X169" s="84">
        <f>SUM(SIS062_F_Kitosrinkodaro1Geriamojovande1,SIS063_F_Kitosrinkodaro1Geriamojovande1,SIS065_F_Kitosrinkodaro1Geriamojovande1)</f>
        <v>0</v>
      </c>
      <c r="Y169" s="84">
        <f>SUM(SIS062_F_Kitosrinkodaro1Paslaugaproduk8,SIS063_F_Kitosrinkodaro1Paslaugaproduk8,SIS065_F_Kitosrinkodaro1Paslaugaproduk8)</f>
        <v>0</v>
      </c>
      <c r="Z169" s="84">
        <f>SIS064_F_Kitosrinkodaro1Elektrosenergi6</f>
        <v>0</v>
      </c>
      <c r="AA169" s="84">
        <f>SUM(SIS062_F_Kitosrinkodaro1Konkurencinesi1,SIS063_F_Kitosrinkodaro1Konkurencinesi1,SIS065_F_Kitosrinkodaro1Konkurencinesi1,)</f>
        <v>0</v>
      </c>
      <c r="AB169" s="84">
        <f>SUM(SIS062_F_Kitosrinkodaro1Paslaugaproduk9,SIS063_F_Kitosrinkodaro1Paslaugaproduk9,SIS065_F_Kitosrinkodaro1Paslaugaproduk9)</f>
        <v>0.28167990573240342</v>
      </c>
      <c r="AC169" s="85">
        <v>25.76618917559243</v>
      </c>
      <c r="AD169" s="86">
        <v>0</v>
      </c>
      <c r="AE169" s="86">
        <v>0</v>
      </c>
      <c r="AF169" s="86">
        <v>0</v>
      </c>
      <c r="AG169" s="87">
        <v>0</v>
      </c>
      <c r="AH169" s="87">
        <v>7.890765709189532</v>
      </c>
      <c r="AI169" s="87">
        <v>0</v>
      </c>
      <c r="AJ169" s="87">
        <v>0</v>
      </c>
      <c r="AK169" s="87">
        <v>1.2167281210081768</v>
      </c>
      <c r="AL169" s="87">
        <v>1.0111939636159619</v>
      </c>
      <c r="AM169" s="87">
        <v>0</v>
      </c>
      <c r="AN169" s="87">
        <v>0.82976662534110968</v>
      </c>
      <c r="AO169" s="87">
        <v>0</v>
      </c>
      <c r="AP169" s="87">
        <v>0</v>
      </c>
      <c r="AQ169" s="87">
        <v>3.0036764995203837</v>
      </c>
      <c r="AR169" s="87">
        <v>0</v>
      </c>
      <c r="AS169" s="87">
        <v>0</v>
      </c>
      <c r="AT169" s="87">
        <v>0</v>
      </c>
      <c r="AU169" s="88">
        <v>0</v>
      </c>
      <c r="AV169" s="85">
        <v>0</v>
      </c>
      <c r="AW169" s="86">
        <v>0</v>
      </c>
      <c r="AX169" s="86">
        <v>0</v>
      </c>
      <c r="AY169" s="86">
        <v>0</v>
      </c>
      <c r="AZ169" s="87"/>
      <c r="BA169" s="87"/>
      <c r="BB169" s="87"/>
      <c r="BC169" s="87"/>
      <c r="BD169" s="87"/>
      <c r="BE169" s="87"/>
      <c r="BF169" s="87"/>
      <c r="BG169" s="87"/>
      <c r="BH169" s="87"/>
      <c r="BI169" s="87"/>
      <c r="BJ169" s="87"/>
      <c r="BK169" s="87"/>
      <c r="BL169" s="87"/>
      <c r="BM169" s="87"/>
      <c r="BN169" s="88"/>
      <c r="BO169" s="85"/>
      <c r="BP169" s="86"/>
      <c r="BQ169" s="86"/>
      <c r="BR169" s="86"/>
      <c r="BS169" s="87"/>
      <c r="BT169" s="87"/>
      <c r="BU169" s="87"/>
      <c r="BV169" s="87"/>
      <c r="BW169" s="87"/>
      <c r="BX169" s="87"/>
      <c r="BY169" s="87"/>
      <c r="BZ169" s="87"/>
      <c r="CA169" s="87"/>
      <c r="CB169" s="87"/>
      <c r="CC169" s="87"/>
      <c r="CD169" s="87"/>
      <c r="CE169" s="87"/>
      <c r="CF169" s="87"/>
      <c r="CG169" s="88"/>
      <c r="CH169" s="85"/>
      <c r="CI169" s="86"/>
      <c r="CJ169" s="86"/>
      <c r="CK169" s="86"/>
      <c r="CL169" s="87"/>
      <c r="CM169" s="87"/>
      <c r="CN169" s="87"/>
      <c r="CO169" s="87"/>
      <c r="CP169" s="87"/>
      <c r="CQ169" s="87"/>
      <c r="CR169" s="87"/>
      <c r="CS169" s="87"/>
      <c r="CT169" s="87"/>
      <c r="CU169" s="87"/>
      <c r="CV169" s="87"/>
      <c r="CW169" s="87"/>
      <c r="CX169" s="87"/>
      <c r="CY169" s="87"/>
      <c r="CZ169" s="88"/>
      <c r="DA169" s="85"/>
      <c r="DB169" s="86"/>
      <c r="DC169" s="86"/>
      <c r="DD169" s="86"/>
      <c r="DE169" s="87"/>
      <c r="DF169" s="87"/>
      <c r="DG169" s="87"/>
      <c r="DH169" s="87"/>
      <c r="DI169" s="87"/>
      <c r="DJ169" s="87"/>
      <c r="DK169" s="87"/>
      <c r="DL169" s="87"/>
      <c r="DM169" s="87"/>
      <c r="DN169" s="87"/>
      <c r="DO169" s="87"/>
      <c r="DP169" s="87"/>
      <c r="DQ169" s="87"/>
      <c r="DR169" s="87"/>
      <c r="DS169" s="88"/>
      <c r="DT169" s="85"/>
      <c r="DU169" s="86"/>
      <c r="DV169" s="86"/>
      <c r="DW169" s="86"/>
      <c r="DX169" s="87"/>
      <c r="DY169" s="87"/>
      <c r="DZ169" s="87"/>
      <c r="EA169" s="87"/>
      <c r="EB169" s="87"/>
      <c r="EC169" s="87"/>
      <c r="ED169" s="87"/>
      <c r="EE169" s="87"/>
      <c r="EF169" s="87"/>
      <c r="EG169" s="87"/>
      <c r="EH169" s="87"/>
      <c r="EI169" s="87"/>
      <c r="EJ169" s="87"/>
      <c r="EK169" s="87"/>
      <c r="EL169" s="88"/>
      <c r="EM169" s="85"/>
      <c r="EN169" s="86"/>
      <c r="EO169" s="86"/>
      <c r="EP169" s="86"/>
      <c r="EQ169" s="87"/>
      <c r="ER169" s="87"/>
      <c r="ES169" s="87"/>
      <c r="ET169" s="87"/>
      <c r="EU169" s="87"/>
      <c r="EV169" s="87"/>
      <c r="EW169" s="87"/>
      <c r="EX169" s="87"/>
      <c r="EY169" s="87"/>
      <c r="EZ169" s="87"/>
      <c r="FA169" s="87"/>
      <c r="FB169" s="87"/>
      <c r="FC169" s="87"/>
      <c r="FD169" s="87"/>
      <c r="FE169" s="89"/>
    </row>
    <row r="170" spans="2:161" s="6" customFormat="1" ht="13.2">
      <c r="B170" s="108" t="s">
        <v>307</v>
      </c>
      <c r="C170" s="109" t="str">
        <f>SIS055_D_Kitosrinkodaro2</f>
        <v>Kitos rinkodaros, pardavimų sąnaudos (nurodyti)</v>
      </c>
      <c r="D170" s="81">
        <f t="shared" si="77"/>
        <v>0</v>
      </c>
      <c r="E170" s="82">
        <f t="shared" si="78"/>
        <v>0</v>
      </c>
      <c r="F170" s="83">
        <f t="shared" si="78"/>
        <v>0</v>
      </c>
      <c r="G170" s="83">
        <f t="shared" si="78"/>
        <v>0</v>
      </c>
      <c r="H170" s="83">
        <f t="shared" si="78"/>
        <v>0</v>
      </c>
      <c r="I170" s="84">
        <f t="shared" si="78"/>
        <v>0</v>
      </c>
      <c r="J170" s="84">
        <f t="shared" si="78"/>
        <v>0</v>
      </c>
      <c r="K170" s="84">
        <f t="shared" si="78"/>
        <v>0</v>
      </c>
      <c r="L170" s="84">
        <f t="shared" si="78"/>
        <v>0</v>
      </c>
      <c r="M170" s="84">
        <f t="shared" si="78"/>
        <v>0</v>
      </c>
      <c r="N170" s="84">
        <f t="shared" si="78"/>
        <v>0</v>
      </c>
      <c r="O170" s="84">
        <f t="shared" si="78"/>
        <v>0</v>
      </c>
      <c r="P170" s="84">
        <f t="shared" si="78"/>
        <v>0</v>
      </c>
      <c r="Q170" s="84">
        <f t="shared" si="78"/>
        <v>0</v>
      </c>
      <c r="R170" s="84">
        <f t="shared" si="78"/>
        <v>0</v>
      </c>
      <c r="S170" s="84">
        <f t="shared" si="78"/>
        <v>0</v>
      </c>
      <c r="T170" s="84">
        <f t="shared" si="78"/>
        <v>0</v>
      </c>
      <c r="U170" s="84">
        <f t="shared" si="79"/>
        <v>0</v>
      </c>
      <c r="V170" s="84">
        <f t="shared" si="79"/>
        <v>0</v>
      </c>
      <c r="W170" s="84">
        <f>SIS064_F_Kitosrinkodaro2Elektrosenergi5</f>
        <v>0</v>
      </c>
      <c r="X170" s="84">
        <f>SUM(SIS062_F_Kitosrinkodaro2Geriamojovande1,SIS063_F_Kitosrinkodaro2Geriamojovande1,SIS065_F_Kitosrinkodaro2Geriamojovande1)</f>
        <v>0</v>
      </c>
      <c r="Y170" s="84">
        <f>SUM(SIS062_F_Kitosrinkodaro2Paslaugaproduk8,SIS063_F_Kitosrinkodaro2Paslaugaproduk8,SIS065_F_Kitosrinkodaro2Paslaugaproduk8)</f>
        <v>0</v>
      </c>
      <c r="Z170" s="84">
        <f>SIS064_F_Kitosrinkodaro2Elektrosenergi6</f>
        <v>0</v>
      </c>
      <c r="AA170" s="84">
        <f>SUM(SIS062_F_Kitosrinkodaro2Konkurencinesi1,SIS063_F_Kitosrinkodaro2Konkurencinesi1,SIS065_F_Kitosrinkodaro2Konkurencinesi1,)</f>
        <v>0</v>
      </c>
      <c r="AB170" s="84">
        <f>SUM(SIS062_F_Kitosrinkodaro2Paslaugaproduk9,SIS063_F_Kitosrinkodaro2Paslaugaproduk9,SIS065_F_Kitosrinkodaro2Paslaugaproduk9)</f>
        <v>0</v>
      </c>
      <c r="AC170" s="85">
        <v>0</v>
      </c>
      <c r="AD170" s="86">
        <v>0</v>
      </c>
      <c r="AE170" s="86">
        <v>0</v>
      </c>
      <c r="AF170" s="86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8">
        <v>0</v>
      </c>
      <c r="AV170" s="85">
        <v>0</v>
      </c>
      <c r="AW170" s="86">
        <v>0</v>
      </c>
      <c r="AX170" s="86">
        <v>0</v>
      </c>
      <c r="AY170" s="86">
        <v>0</v>
      </c>
      <c r="AZ170" s="87"/>
      <c r="BA170" s="87"/>
      <c r="BB170" s="87"/>
      <c r="BC170" s="87"/>
      <c r="BD170" s="87"/>
      <c r="BE170" s="87"/>
      <c r="BF170" s="87"/>
      <c r="BG170" s="87"/>
      <c r="BH170" s="87"/>
      <c r="BI170" s="87"/>
      <c r="BJ170" s="87"/>
      <c r="BK170" s="87"/>
      <c r="BL170" s="87"/>
      <c r="BM170" s="87"/>
      <c r="BN170" s="88"/>
      <c r="BO170" s="85"/>
      <c r="BP170" s="86"/>
      <c r="BQ170" s="86"/>
      <c r="BR170" s="86"/>
      <c r="BS170" s="87"/>
      <c r="BT170" s="87"/>
      <c r="BU170" s="87"/>
      <c r="BV170" s="87"/>
      <c r="BW170" s="87"/>
      <c r="BX170" s="87"/>
      <c r="BY170" s="87"/>
      <c r="BZ170" s="87"/>
      <c r="CA170" s="87"/>
      <c r="CB170" s="87"/>
      <c r="CC170" s="87"/>
      <c r="CD170" s="87"/>
      <c r="CE170" s="87"/>
      <c r="CF170" s="87"/>
      <c r="CG170" s="88"/>
      <c r="CH170" s="85"/>
      <c r="CI170" s="86"/>
      <c r="CJ170" s="86"/>
      <c r="CK170" s="86"/>
      <c r="CL170" s="87"/>
      <c r="CM170" s="87"/>
      <c r="CN170" s="87"/>
      <c r="CO170" s="87"/>
      <c r="CP170" s="87"/>
      <c r="CQ170" s="87"/>
      <c r="CR170" s="87"/>
      <c r="CS170" s="87"/>
      <c r="CT170" s="87"/>
      <c r="CU170" s="87"/>
      <c r="CV170" s="87"/>
      <c r="CW170" s="87"/>
      <c r="CX170" s="87"/>
      <c r="CY170" s="87"/>
      <c r="CZ170" s="88"/>
      <c r="DA170" s="85"/>
      <c r="DB170" s="86"/>
      <c r="DC170" s="86"/>
      <c r="DD170" s="86"/>
      <c r="DE170" s="87"/>
      <c r="DF170" s="87"/>
      <c r="DG170" s="87"/>
      <c r="DH170" s="87"/>
      <c r="DI170" s="87"/>
      <c r="DJ170" s="87"/>
      <c r="DK170" s="87"/>
      <c r="DL170" s="87"/>
      <c r="DM170" s="87"/>
      <c r="DN170" s="87"/>
      <c r="DO170" s="87"/>
      <c r="DP170" s="87"/>
      <c r="DQ170" s="87"/>
      <c r="DR170" s="87"/>
      <c r="DS170" s="88"/>
      <c r="DT170" s="85"/>
      <c r="DU170" s="86"/>
      <c r="DV170" s="86"/>
      <c r="DW170" s="86"/>
      <c r="DX170" s="87"/>
      <c r="DY170" s="87"/>
      <c r="DZ170" s="87"/>
      <c r="EA170" s="87"/>
      <c r="EB170" s="87"/>
      <c r="EC170" s="87"/>
      <c r="ED170" s="87"/>
      <c r="EE170" s="87"/>
      <c r="EF170" s="87"/>
      <c r="EG170" s="87"/>
      <c r="EH170" s="87"/>
      <c r="EI170" s="87"/>
      <c r="EJ170" s="87"/>
      <c r="EK170" s="87"/>
      <c r="EL170" s="88"/>
      <c r="EM170" s="85"/>
      <c r="EN170" s="86"/>
      <c r="EO170" s="86"/>
      <c r="EP170" s="86"/>
      <c r="EQ170" s="87"/>
      <c r="ER170" s="87"/>
      <c r="ES170" s="87"/>
      <c r="ET170" s="87"/>
      <c r="EU170" s="87"/>
      <c r="EV170" s="87"/>
      <c r="EW170" s="87"/>
      <c r="EX170" s="87"/>
      <c r="EY170" s="87"/>
      <c r="EZ170" s="87"/>
      <c r="FA170" s="87"/>
      <c r="FB170" s="87"/>
      <c r="FC170" s="87"/>
      <c r="FD170" s="87"/>
      <c r="FE170" s="89"/>
    </row>
    <row r="171" spans="2:161" s="6" customFormat="1" ht="13.2">
      <c r="B171" s="93" t="s">
        <v>308</v>
      </c>
      <c r="C171" s="111" t="s">
        <v>309</v>
      </c>
      <c r="D171" s="106">
        <f t="shared" ref="D171:BO171" si="80">SUM(D172:D173)</f>
        <v>0</v>
      </c>
      <c r="E171" s="95">
        <f t="shared" si="80"/>
        <v>0</v>
      </c>
      <c r="F171" s="96">
        <f t="shared" si="80"/>
        <v>0</v>
      </c>
      <c r="G171" s="96">
        <f t="shared" si="80"/>
        <v>0</v>
      </c>
      <c r="H171" s="96">
        <f t="shared" si="80"/>
        <v>0</v>
      </c>
      <c r="I171" s="97">
        <f t="shared" si="80"/>
        <v>0</v>
      </c>
      <c r="J171" s="97">
        <f t="shared" si="80"/>
        <v>0</v>
      </c>
      <c r="K171" s="97">
        <f t="shared" si="80"/>
        <v>0</v>
      </c>
      <c r="L171" s="97">
        <f t="shared" si="80"/>
        <v>0</v>
      </c>
      <c r="M171" s="97">
        <f t="shared" si="80"/>
        <v>0</v>
      </c>
      <c r="N171" s="97">
        <f t="shared" si="80"/>
        <v>0</v>
      </c>
      <c r="O171" s="97">
        <f t="shared" si="80"/>
        <v>0</v>
      </c>
      <c r="P171" s="97">
        <f t="shared" si="80"/>
        <v>0</v>
      </c>
      <c r="Q171" s="97">
        <f t="shared" si="80"/>
        <v>0</v>
      </c>
      <c r="R171" s="97">
        <f t="shared" si="80"/>
        <v>0</v>
      </c>
      <c r="S171" s="97">
        <f t="shared" si="80"/>
        <v>0</v>
      </c>
      <c r="T171" s="97">
        <f t="shared" si="80"/>
        <v>0</v>
      </c>
      <c r="U171" s="97">
        <f t="shared" si="80"/>
        <v>0</v>
      </c>
      <c r="V171" s="97">
        <f t="shared" si="80"/>
        <v>0</v>
      </c>
      <c r="W171" s="97">
        <f t="shared" si="80"/>
        <v>0</v>
      </c>
      <c r="X171" s="97">
        <f t="shared" si="80"/>
        <v>0</v>
      </c>
      <c r="Y171" s="97">
        <f t="shared" si="80"/>
        <v>0</v>
      </c>
      <c r="Z171" s="97">
        <f t="shared" si="80"/>
        <v>0</v>
      </c>
      <c r="AA171" s="97">
        <f t="shared" si="80"/>
        <v>0</v>
      </c>
      <c r="AB171" s="97">
        <f t="shared" si="80"/>
        <v>0</v>
      </c>
      <c r="AC171" s="98">
        <f t="shared" si="80"/>
        <v>0</v>
      </c>
      <c r="AD171" s="99">
        <f t="shared" si="80"/>
        <v>0</v>
      </c>
      <c r="AE171" s="99">
        <f t="shared" si="80"/>
        <v>0</v>
      </c>
      <c r="AF171" s="99">
        <f t="shared" si="80"/>
        <v>0</v>
      </c>
      <c r="AG171" s="100">
        <f t="shared" si="80"/>
        <v>0</v>
      </c>
      <c r="AH171" s="100">
        <f t="shared" si="80"/>
        <v>0</v>
      </c>
      <c r="AI171" s="100">
        <f t="shared" si="80"/>
        <v>0</v>
      </c>
      <c r="AJ171" s="100">
        <f t="shared" si="80"/>
        <v>0</v>
      </c>
      <c r="AK171" s="100">
        <f t="shared" si="80"/>
        <v>0</v>
      </c>
      <c r="AL171" s="100">
        <f t="shared" si="80"/>
        <v>0</v>
      </c>
      <c r="AM171" s="100">
        <f t="shared" si="80"/>
        <v>0</v>
      </c>
      <c r="AN171" s="100">
        <f t="shared" si="80"/>
        <v>0</v>
      </c>
      <c r="AO171" s="100">
        <f t="shared" si="80"/>
        <v>0</v>
      </c>
      <c r="AP171" s="100">
        <f t="shared" si="80"/>
        <v>0</v>
      </c>
      <c r="AQ171" s="100">
        <f t="shared" si="80"/>
        <v>0</v>
      </c>
      <c r="AR171" s="100">
        <f t="shared" si="80"/>
        <v>0</v>
      </c>
      <c r="AS171" s="100">
        <f t="shared" si="80"/>
        <v>0</v>
      </c>
      <c r="AT171" s="100">
        <f t="shared" si="80"/>
        <v>0</v>
      </c>
      <c r="AU171" s="97">
        <f t="shared" si="80"/>
        <v>0</v>
      </c>
      <c r="AV171" s="98">
        <f t="shared" si="80"/>
        <v>0</v>
      </c>
      <c r="AW171" s="99">
        <f t="shared" si="80"/>
        <v>0</v>
      </c>
      <c r="AX171" s="99">
        <f t="shared" si="80"/>
        <v>0</v>
      </c>
      <c r="AY171" s="99">
        <f t="shared" si="80"/>
        <v>0</v>
      </c>
      <c r="AZ171" s="100">
        <f t="shared" si="80"/>
        <v>0</v>
      </c>
      <c r="BA171" s="100">
        <f t="shared" si="80"/>
        <v>0</v>
      </c>
      <c r="BB171" s="100">
        <f t="shared" si="80"/>
        <v>0</v>
      </c>
      <c r="BC171" s="100">
        <f t="shared" si="80"/>
        <v>0</v>
      </c>
      <c r="BD171" s="100">
        <f t="shared" si="80"/>
        <v>0</v>
      </c>
      <c r="BE171" s="100">
        <f t="shared" si="80"/>
        <v>0</v>
      </c>
      <c r="BF171" s="100">
        <f t="shared" si="80"/>
        <v>0</v>
      </c>
      <c r="BG171" s="100">
        <f t="shared" si="80"/>
        <v>0</v>
      </c>
      <c r="BH171" s="100">
        <f t="shared" si="80"/>
        <v>0</v>
      </c>
      <c r="BI171" s="100">
        <f t="shared" si="80"/>
        <v>0</v>
      </c>
      <c r="BJ171" s="100">
        <f t="shared" si="80"/>
        <v>0</v>
      </c>
      <c r="BK171" s="100">
        <f t="shared" si="80"/>
        <v>0</v>
      </c>
      <c r="BL171" s="100">
        <f t="shared" si="80"/>
        <v>0</v>
      </c>
      <c r="BM171" s="100">
        <f t="shared" si="80"/>
        <v>0</v>
      </c>
      <c r="BN171" s="97">
        <f t="shared" si="80"/>
        <v>0</v>
      </c>
      <c r="BO171" s="98">
        <f t="shared" si="80"/>
        <v>0</v>
      </c>
      <c r="BP171" s="99">
        <f t="shared" ref="BP171:EA171" si="81">SUM(BP172:BP173)</f>
        <v>0</v>
      </c>
      <c r="BQ171" s="99">
        <f t="shared" si="81"/>
        <v>0</v>
      </c>
      <c r="BR171" s="99">
        <f t="shared" si="81"/>
        <v>0</v>
      </c>
      <c r="BS171" s="100">
        <f t="shared" si="81"/>
        <v>0</v>
      </c>
      <c r="BT171" s="100">
        <f t="shared" si="81"/>
        <v>0</v>
      </c>
      <c r="BU171" s="100">
        <f t="shared" si="81"/>
        <v>0</v>
      </c>
      <c r="BV171" s="100">
        <f t="shared" si="81"/>
        <v>0</v>
      </c>
      <c r="BW171" s="100">
        <f t="shared" si="81"/>
        <v>0</v>
      </c>
      <c r="BX171" s="100">
        <f t="shared" si="81"/>
        <v>0</v>
      </c>
      <c r="BY171" s="100">
        <f t="shared" si="81"/>
        <v>0</v>
      </c>
      <c r="BZ171" s="100">
        <f t="shared" si="81"/>
        <v>0</v>
      </c>
      <c r="CA171" s="100">
        <f t="shared" si="81"/>
        <v>0</v>
      </c>
      <c r="CB171" s="100">
        <f t="shared" si="81"/>
        <v>0</v>
      </c>
      <c r="CC171" s="100">
        <f t="shared" si="81"/>
        <v>0</v>
      </c>
      <c r="CD171" s="100">
        <f t="shared" si="81"/>
        <v>0</v>
      </c>
      <c r="CE171" s="100">
        <f t="shared" si="81"/>
        <v>0</v>
      </c>
      <c r="CF171" s="100">
        <f t="shared" si="81"/>
        <v>0</v>
      </c>
      <c r="CG171" s="97">
        <f t="shared" si="81"/>
        <v>0</v>
      </c>
      <c r="CH171" s="98">
        <f t="shared" si="81"/>
        <v>0</v>
      </c>
      <c r="CI171" s="99">
        <f t="shared" si="81"/>
        <v>0</v>
      </c>
      <c r="CJ171" s="99">
        <f t="shared" si="81"/>
        <v>0</v>
      </c>
      <c r="CK171" s="99">
        <f t="shared" si="81"/>
        <v>0</v>
      </c>
      <c r="CL171" s="100">
        <f t="shared" si="81"/>
        <v>0</v>
      </c>
      <c r="CM171" s="100">
        <f t="shared" si="81"/>
        <v>0</v>
      </c>
      <c r="CN171" s="100">
        <f t="shared" si="81"/>
        <v>0</v>
      </c>
      <c r="CO171" s="100">
        <f t="shared" si="81"/>
        <v>0</v>
      </c>
      <c r="CP171" s="100">
        <f t="shared" si="81"/>
        <v>0</v>
      </c>
      <c r="CQ171" s="100">
        <f t="shared" si="81"/>
        <v>0</v>
      </c>
      <c r="CR171" s="100">
        <f t="shared" si="81"/>
        <v>0</v>
      </c>
      <c r="CS171" s="100">
        <f t="shared" si="81"/>
        <v>0</v>
      </c>
      <c r="CT171" s="100">
        <f t="shared" si="81"/>
        <v>0</v>
      </c>
      <c r="CU171" s="100">
        <f t="shared" si="81"/>
        <v>0</v>
      </c>
      <c r="CV171" s="100">
        <f t="shared" si="81"/>
        <v>0</v>
      </c>
      <c r="CW171" s="100">
        <f t="shared" si="81"/>
        <v>0</v>
      </c>
      <c r="CX171" s="100">
        <f t="shared" si="81"/>
        <v>0</v>
      </c>
      <c r="CY171" s="100">
        <f t="shared" si="81"/>
        <v>0</v>
      </c>
      <c r="CZ171" s="97">
        <f t="shared" si="81"/>
        <v>0</v>
      </c>
      <c r="DA171" s="98">
        <f t="shared" si="81"/>
        <v>0</v>
      </c>
      <c r="DB171" s="99">
        <f t="shared" si="81"/>
        <v>0</v>
      </c>
      <c r="DC171" s="99">
        <f t="shared" si="81"/>
        <v>0</v>
      </c>
      <c r="DD171" s="99">
        <f t="shared" si="81"/>
        <v>0</v>
      </c>
      <c r="DE171" s="100">
        <f t="shared" si="81"/>
        <v>0</v>
      </c>
      <c r="DF171" s="100">
        <f t="shared" si="81"/>
        <v>0</v>
      </c>
      <c r="DG171" s="100">
        <f t="shared" si="81"/>
        <v>0</v>
      </c>
      <c r="DH171" s="100">
        <f t="shared" si="81"/>
        <v>0</v>
      </c>
      <c r="DI171" s="100">
        <f t="shared" si="81"/>
        <v>0</v>
      </c>
      <c r="DJ171" s="100">
        <f t="shared" si="81"/>
        <v>0</v>
      </c>
      <c r="DK171" s="100">
        <f t="shared" si="81"/>
        <v>0</v>
      </c>
      <c r="DL171" s="100">
        <f t="shared" si="81"/>
        <v>0</v>
      </c>
      <c r="DM171" s="100">
        <f t="shared" si="81"/>
        <v>0</v>
      </c>
      <c r="DN171" s="100">
        <f t="shared" si="81"/>
        <v>0</v>
      </c>
      <c r="DO171" s="100">
        <f t="shared" si="81"/>
        <v>0</v>
      </c>
      <c r="DP171" s="100">
        <f t="shared" si="81"/>
        <v>0</v>
      </c>
      <c r="DQ171" s="100">
        <f t="shared" si="81"/>
        <v>0</v>
      </c>
      <c r="DR171" s="100">
        <f t="shared" si="81"/>
        <v>0</v>
      </c>
      <c r="DS171" s="97">
        <f t="shared" si="81"/>
        <v>0</v>
      </c>
      <c r="DT171" s="98">
        <f t="shared" si="81"/>
        <v>0</v>
      </c>
      <c r="DU171" s="99">
        <f t="shared" si="81"/>
        <v>0</v>
      </c>
      <c r="DV171" s="99">
        <f t="shared" si="81"/>
        <v>0</v>
      </c>
      <c r="DW171" s="99">
        <f t="shared" si="81"/>
        <v>0</v>
      </c>
      <c r="DX171" s="100">
        <f t="shared" si="81"/>
        <v>0</v>
      </c>
      <c r="DY171" s="100">
        <f t="shared" si="81"/>
        <v>0</v>
      </c>
      <c r="DZ171" s="100">
        <f t="shared" si="81"/>
        <v>0</v>
      </c>
      <c r="EA171" s="100">
        <f t="shared" si="81"/>
        <v>0</v>
      </c>
      <c r="EB171" s="100">
        <f t="shared" ref="EB171:GP171" si="82">SUM(EB172:EB173)</f>
        <v>0</v>
      </c>
      <c r="EC171" s="100">
        <f t="shared" si="82"/>
        <v>0</v>
      </c>
      <c r="ED171" s="100">
        <f t="shared" si="82"/>
        <v>0</v>
      </c>
      <c r="EE171" s="100">
        <f t="shared" si="82"/>
        <v>0</v>
      </c>
      <c r="EF171" s="100">
        <f t="shared" si="82"/>
        <v>0</v>
      </c>
      <c r="EG171" s="100">
        <f t="shared" si="82"/>
        <v>0</v>
      </c>
      <c r="EH171" s="100">
        <f t="shared" si="82"/>
        <v>0</v>
      </c>
      <c r="EI171" s="100">
        <f t="shared" si="82"/>
        <v>0</v>
      </c>
      <c r="EJ171" s="100">
        <f t="shared" si="82"/>
        <v>0</v>
      </c>
      <c r="EK171" s="100">
        <f t="shared" si="82"/>
        <v>0</v>
      </c>
      <c r="EL171" s="97">
        <f t="shared" si="82"/>
        <v>0</v>
      </c>
      <c r="EM171" s="98">
        <f t="shared" si="82"/>
        <v>0</v>
      </c>
      <c r="EN171" s="99">
        <f t="shared" si="82"/>
        <v>0</v>
      </c>
      <c r="EO171" s="99">
        <f t="shared" si="82"/>
        <v>0</v>
      </c>
      <c r="EP171" s="99">
        <f t="shared" si="82"/>
        <v>0</v>
      </c>
      <c r="EQ171" s="100">
        <f t="shared" si="82"/>
        <v>0</v>
      </c>
      <c r="ER171" s="100">
        <f t="shared" si="82"/>
        <v>0</v>
      </c>
      <c r="ES171" s="100">
        <f t="shared" si="82"/>
        <v>0</v>
      </c>
      <c r="ET171" s="100">
        <f t="shared" si="82"/>
        <v>0</v>
      </c>
      <c r="EU171" s="100">
        <f t="shared" si="82"/>
        <v>0</v>
      </c>
      <c r="EV171" s="100">
        <f t="shared" si="82"/>
        <v>0</v>
      </c>
      <c r="EW171" s="100">
        <f t="shared" si="82"/>
        <v>0</v>
      </c>
      <c r="EX171" s="100">
        <f t="shared" si="82"/>
        <v>0</v>
      </c>
      <c r="EY171" s="100">
        <f t="shared" si="82"/>
        <v>0</v>
      </c>
      <c r="EZ171" s="100">
        <f t="shared" si="82"/>
        <v>0</v>
      </c>
      <c r="FA171" s="100">
        <f t="shared" si="82"/>
        <v>0</v>
      </c>
      <c r="FB171" s="100">
        <f t="shared" si="82"/>
        <v>0</v>
      </c>
      <c r="FC171" s="100">
        <f t="shared" si="82"/>
        <v>0</v>
      </c>
      <c r="FD171" s="100">
        <f t="shared" si="82"/>
        <v>0</v>
      </c>
      <c r="FE171" s="101">
        <f t="shared" si="82"/>
        <v>0</v>
      </c>
    </row>
    <row r="172" spans="2:161" s="6" customFormat="1" ht="13.2" hidden="1">
      <c r="B172" s="79" t="s">
        <v>310</v>
      </c>
      <c r="C172" s="103" t="s">
        <v>311</v>
      </c>
      <c r="D172" s="81">
        <f>SUM(E172:AB172)</f>
        <v>0</v>
      </c>
      <c r="E172" s="122">
        <f t="shared" ref="E172:T173" si="83">SUM(AC172,AV172,BO172,CH172,DA172,DT172,EM172)</f>
        <v>0</v>
      </c>
      <c r="F172" s="123">
        <f t="shared" si="83"/>
        <v>0</v>
      </c>
      <c r="G172" s="123">
        <f t="shared" si="83"/>
        <v>0</v>
      </c>
      <c r="H172" s="123">
        <f t="shared" si="83"/>
        <v>0</v>
      </c>
      <c r="I172" s="116">
        <f t="shared" si="83"/>
        <v>0</v>
      </c>
      <c r="J172" s="116">
        <f t="shared" si="83"/>
        <v>0</v>
      </c>
      <c r="K172" s="116">
        <f t="shared" si="83"/>
        <v>0</v>
      </c>
      <c r="L172" s="116">
        <f t="shared" si="83"/>
        <v>0</v>
      </c>
      <c r="M172" s="116">
        <f t="shared" si="83"/>
        <v>0</v>
      </c>
      <c r="N172" s="116">
        <f t="shared" si="83"/>
        <v>0</v>
      </c>
      <c r="O172" s="116">
        <f t="shared" si="83"/>
        <v>0</v>
      </c>
      <c r="P172" s="116">
        <f t="shared" si="83"/>
        <v>0</v>
      </c>
      <c r="Q172" s="116">
        <f t="shared" si="83"/>
        <v>0</v>
      </c>
      <c r="R172" s="116">
        <f t="shared" si="83"/>
        <v>0</v>
      </c>
      <c r="S172" s="116">
        <f t="shared" si="83"/>
        <v>0</v>
      </c>
      <c r="T172" s="116">
        <f t="shared" si="83"/>
        <v>0</v>
      </c>
      <c r="U172" s="116">
        <f t="shared" ref="O172:V173" si="84">SUM(AS172,BL172,CE172,CX172,DQ172,EJ172,FC172)</f>
        <v>0</v>
      </c>
      <c r="V172" s="116">
        <f t="shared" si="84"/>
        <v>0</v>
      </c>
      <c r="W172" s="116">
        <f>SIS064_F_Silumosukiotur2Elektrosenergi5</f>
        <v>0</v>
      </c>
      <c r="X172" s="116">
        <f>SUM(SIS062_F_Silumosukiotur2Geriamojovande1,SIS063_F_Silumosukiotur2Geriamojovande1,SIS065_F_Silumosukiotur2Geriamojovande1)</f>
        <v>0</v>
      </c>
      <c r="Y172" s="116">
        <f>SUM(SIS062_F_Silumosukiotur2Paslaugaproduk8,SIS063_F_Silumosukiotur2Paslaugaproduk8,SIS065_F_Silumosukiotur2Paslaugaproduk8)</f>
        <v>0</v>
      </c>
      <c r="Z172" s="116">
        <f>SIS064_F_Silumosukiotur2Elektrosenergi6</f>
        <v>0</v>
      </c>
      <c r="AA172" s="84">
        <f>SUM(SIS062_F_Silumosukiotur2Konkurencinesi1,SIS063_F_Silumosukiotur2Konkurencinesi1,SIS065_F_Silumosukiotur2Konkurencinesi1,)</f>
        <v>0</v>
      </c>
      <c r="AB172" s="116">
        <f>SUM(SIS062_F_Silumosukiotur2Paslaugaproduk9,SIS063_F_Silumosukiotur2Paslaugaproduk9,SIS065_F_Silumosukiotur2Paslaugaproduk9)</f>
        <v>0</v>
      </c>
      <c r="AC172" s="85"/>
      <c r="AD172" s="86"/>
      <c r="AE172" s="86"/>
      <c r="AF172" s="86"/>
      <c r="AG172" s="87"/>
      <c r="AH172" s="87"/>
      <c r="AI172" s="87"/>
      <c r="AJ172" s="87"/>
      <c r="AK172" s="87"/>
      <c r="AL172" s="87"/>
      <c r="AM172" s="87"/>
      <c r="AN172" s="87"/>
      <c r="AO172" s="87"/>
      <c r="AP172" s="87"/>
      <c r="AQ172" s="87"/>
      <c r="AR172" s="87"/>
      <c r="AS172" s="87"/>
      <c r="AT172" s="87"/>
      <c r="AU172" s="88"/>
      <c r="AV172" s="85"/>
      <c r="AW172" s="86"/>
      <c r="AX172" s="86"/>
      <c r="AY172" s="86"/>
      <c r="AZ172" s="87"/>
      <c r="BA172" s="87"/>
      <c r="BB172" s="87"/>
      <c r="BC172" s="87"/>
      <c r="BD172" s="87"/>
      <c r="BE172" s="87"/>
      <c r="BF172" s="87"/>
      <c r="BG172" s="87"/>
      <c r="BH172" s="87"/>
      <c r="BI172" s="87"/>
      <c r="BJ172" s="87"/>
      <c r="BK172" s="87"/>
      <c r="BL172" s="87"/>
      <c r="BM172" s="87"/>
      <c r="BN172" s="88"/>
      <c r="BO172" s="85"/>
      <c r="BP172" s="86"/>
      <c r="BQ172" s="86"/>
      <c r="BR172" s="86"/>
      <c r="BS172" s="87"/>
      <c r="BT172" s="87"/>
      <c r="BU172" s="87"/>
      <c r="BV172" s="87"/>
      <c r="BW172" s="87"/>
      <c r="BX172" s="87"/>
      <c r="BY172" s="87"/>
      <c r="BZ172" s="87"/>
      <c r="CA172" s="87"/>
      <c r="CB172" s="87"/>
      <c r="CC172" s="87"/>
      <c r="CD172" s="87"/>
      <c r="CE172" s="87"/>
      <c r="CF172" s="87"/>
      <c r="CG172" s="88"/>
      <c r="CH172" s="85"/>
      <c r="CI172" s="86"/>
      <c r="CJ172" s="86"/>
      <c r="CK172" s="86"/>
      <c r="CL172" s="87"/>
      <c r="CM172" s="87"/>
      <c r="CN172" s="87"/>
      <c r="CO172" s="87"/>
      <c r="CP172" s="87"/>
      <c r="CQ172" s="87"/>
      <c r="CR172" s="87"/>
      <c r="CS172" s="87"/>
      <c r="CT172" s="87"/>
      <c r="CU172" s="87"/>
      <c r="CV172" s="87"/>
      <c r="CW172" s="87"/>
      <c r="CX172" s="87"/>
      <c r="CY172" s="87"/>
      <c r="CZ172" s="88"/>
      <c r="DA172" s="85"/>
      <c r="DB172" s="86"/>
      <c r="DC172" s="86"/>
      <c r="DD172" s="86"/>
      <c r="DE172" s="87"/>
      <c r="DF172" s="87"/>
      <c r="DG172" s="87"/>
      <c r="DH172" s="87"/>
      <c r="DI172" s="87"/>
      <c r="DJ172" s="87"/>
      <c r="DK172" s="87"/>
      <c r="DL172" s="87"/>
      <c r="DM172" s="87"/>
      <c r="DN172" s="87"/>
      <c r="DO172" s="87"/>
      <c r="DP172" s="87"/>
      <c r="DQ172" s="87"/>
      <c r="DR172" s="87"/>
      <c r="DS172" s="88"/>
      <c r="DT172" s="85"/>
      <c r="DU172" s="86"/>
      <c r="DV172" s="86"/>
      <c r="DW172" s="86"/>
      <c r="DX172" s="87"/>
      <c r="DY172" s="87"/>
      <c r="DZ172" s="87"/>
      <c r="EA172" s="87"/>
      <c r="EB172" s="87"/>
      <c r="EC172" s="87"/>
      <c r="ED172" s="87"/>
      <c r="EE172" s="87"/>
      <c r="EF172" s="87"/>
      <c r="EG172" s="87"/>
      <c r="EH172" s="87"/>
      <c r="EI172" s="87"/>
      <c r="EJ172" s="87"/>
      <c r="EK172" s="87"/>
      <c r="EL172" s="88"/>
      <c r="EM172" s="85"/>
      <c r="EN172" s="86"/>
      <c r="EO172" s="86"/>
      <c r="EP172" s="86"/>
      <c r="EQ172" s="87"/>
      <c r="ER172" s="87"/>
      <c r="ES172" s="87"/>
      <c r="ET172" s="87"/>
      <c r="EU172" s="87"/>
      <c r="EV172" s="87"/>
      <c r="EW172" s="87"/>
      <c r="EX172" s="87"/>
      <c r="EY172" s="87"/>
      <c r="EZ172" s="87"/>
      <c r="FA172" s="87"/>
      <c r="FB172" s="87"/>
      <c r="FC172" s="87"/>
      <c r="FD172" s="87"/>
      <c r="FE172" s="89"/>
    </row>
    <row r="173" spans="2:161" s="6" customFormat="1" ht="13.2" hidden="1">
      <c r="B173" s="79" t="s">
        <v>312</v>
      </c>
      <c r="C173" s="113" t="str">
        <f>SIS055_D_Kitossanaudoss7</f>
        <v>Kitos sąnaudos, susijusios su šilumos ūkio turto nuoma, koncesija (nurodyti)</v>
      </c>
      <c r="D173" s="81">
        <f>SUM(E173:AB173)</f>
        <v>0</v>
      </c>
      <c r="E173" s="122">
        <f t="shared" si="83"/>
        <v>0</v>
      </c>
      <c r="F173" s="123">
        <f t="shared" si="83"/>
        <v>0</v>
      </c>
      <c r="G173" s="123">
        <f t="shared" si="83"/>
        <v>0</v>
      </c>
      <c r="H173" s="123">
        <f t="shared" si="83"/>
        <v>0</v>
      </c>
      <c r="I173" s="116">
        <f t="shared" si="83"/>
        <v>0</v>
      </c>
      <c r="J173" s="116">
        <f t="shared" si="83"/>
        <v>0</v>
      </c>
      <c r="K173" s="116">
        <f t="shared" si="83"/>
        <v>0</v>
      </c>
      <c r="L173" s="116">
        <f t="shared" si="83"/>
        <v>0</v>
      </c>
      <c r="M173" s="116">
        <f t="shared" si="83"/>
        <v>0</v>
      </c>
      <c r="N173" s="116">
        <f t="shared" si="83"/>
        <v>0</v>
      </c>
      <c r="O173" s="116">
        <f t="shared" si="84"/>
        <v>0</v>
      </c>
      <c r="P173" s="116">
        <f t="shared" si="84"/>
        <v>0</v>
      </c>
      <c r="Q173" s="116">
        <f t="shared" si="84"/>
        <v>0</v>
      </c>
      <c r="R173" s="116">
        <f t="shared" si="84"/>
        <v>0</v>
      </c>
      <c r="S173" s="116">
        <f t="shared" si="84"/>
        <v>0</v>
      </c>
      <c r="T173" s="116">
        <f t="shared" si="84"/>
        <v>0</v>
      </c>
      <c r="U173" s="116">
        <f t="shared" si="84"/>
        <v>0</v>
      </c>
      <c r="V173" s="116">
        <f t="shared" si="84"/>
        <v>0</v>
      </c>
      <c r="W173" s="116">
        <f>SIS064_F_Kitossanaudoss7Elektrosenergi5</f>
        <v>0</v>
      </c>
      <c r="X173" s="116">
        <f>SUM(SIS062_F_Kitossanaudoss7Geriamojovande1,SIS063_F_Kitossanaudoss7Geriamojovande1,SIS065_F_Kitossanaudoss7Geriamojovande1)</f>
        <v>0</v>
      </c>
      <c r="Y173" s="116">
        <f>SUM(SIS062_F_Kitossanaudoss7Paslaugaproduk8,SIS063_F_Kitossanaudoss7Paslaugaproduk8,SIS065_F_Kitossanaudoss7Paslaugaproduk8)</f>
        <v>0</v>
      </c>
      <c r="Z173" s="116">
        <f>SIS064_F_Kitossanaudoss7Elektrosenergi6</f>
        <v>0</v>
      </c>
      <c r="AA173" s="84">
        <f>SUM(SIS062_F_Kitossanaudoss7Konkurencinesi1,SIS063_F_Kitossanaudoss7Konkurencinesi1,SIS065_F_Kitossanaudoss7Konkurencinesi1,)</f>
        <v>0</v>
      </c>
      <c r="AB173" s="116">
        <f>SUM(SIS062_F_Kitossanaudoss7Paslaugaproduk9,SIS063_F_Kitossanaudoss7Paslaugaproduk9,SIS065_F_Kitossanaudoss7Paslaugaproduk9)</f>
        <v>0</v>
      </c>
      <c r="AC173" s="85"/>
      <c r="AD173" s="86"/>
      <c r="AE173" s="86"/>
      <c r="AF173" s="86"/>
      <c r="AG173" s="87"/>
      <c r="AH173" s="87"/>
      <c r="AI173" s="87"/>
      <c r="AJ173" s="87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8"/>
      <c r="AV173" s="85"/>
      <c r="AW173" s="86"/>
      <c r="AX173" s="86"/>
      <c r="AY173" s="86"/>
      <c r="AZ173" s="87"/>
      <c r="BA173" s="87"/>
      <c r="BB173" s="87"/>
      <c r="BC173" s="87"/>
      <c r="BD173" s="87"/>
      <c r="BE173" s="87"/>
      <c r="BF173" s="87"/>
      <c r="BG173" s="87"/>
      <c r="BH173" s="87"/>
      <c r="BI173" s="87"/>
      <c r="BJ173" s="87"/>
      <c r="BK173" s="87"/>
      <c r="BL173" s="87"/>
      <c r="BM173" s="87"/>
      <c r="BN173" s="88"/>
      <c r="BO173" s="85"/>
      <c r="BP173" s="86"/>
      <c r="BQ173" s="86"/>
      <c r="BR173" s="86"/>
      <c r="BS173" s="87"/>
      <c r="BT173" s="87"/>
      <c r="BU173" s="87"/>
      <c r="BV173" s="87"/>
      <c r="BW173" s="87"/>
      <c r="BX173" s="87"/>
      <c r="BY173" s="87"/>
      <c r="BZ173" s="87"/>
      <c r="CA173" s="87"/>
      <c r="CB173" s="87"/>
      <c r="CC173" s="87"/>
      <c r="CD173" s="87"/>
      <c r="CE173" s="87"/>
      <c r="CF173" s="87"/>
      <c r="CG173" s="88"/>
      <c r="CH173" s="85"/>
      <c r="CI173" s="86"/>
      <c r="CJ173" s="86"/>
      <c r="CK173" s="86"/>
      <c r="CL173" s="87"/>
      <c r="CM173" s="87"/>
      <c r="CN173" s="87"/>
      <c r="CO173" s="87"/>
      <c r="CP173" s="87"/>
      <c r="CQ173" s="87"/>
      <c r="CR173" s="87"/>
      <c r="CS173" s="87"/>
      <c r="CT173" s="87"/>
      <c r="CU173" s="87"/>
      <c r="CV173" s="87"/>
      <c r="CW173" s="87"/>
      <c r="CX173" s="87"/>
      <c r="CY173" s="87"/>
      <c r="CZ173" s="88"/>
      <c r="DA173" s="85"/>
      <c r="DB173" s="86"/>
      <c r="DC173" s="86"/>
      <c r="DD173" s="86"/>
      <c r="DE173" s="87"/>
      <c r="DF173" s="87"/>
      <c r="DG173" s="87"/>
      <c r="DH173" s="87"/>
      <c r="DI173" s="87"/>
      <c r="DJ173" s="87"/>
      <c r="DK173" s="87"/>
      <c r="DL173" s="87"/>
      <c r="DM173" s="87"/>
      <c r="DN173" s="87"/>
      <c r="DO173" s="87"/>
      <c r="DP173" s="87"/>
      <c r="DQ173" s="87"/>
      <c r="DR173" s="87"/>
      <c r="DS173" s="88"/>
      <c r="DT173" s="85"/>
      <c r="DU173" s="86"/>
      <c r="DV173" s="86"/>
      <c r="DW173" s="86"/>
      <c r="DX173" s="87"/>
      <c r="DY173" s="87"/>
      <c r="DZ173" s="87"/>
      <c r="EA173" s="87"/>
      <c r="EB173" s="87"/>
      <c r="EC173" s="87"/>
      <c r="ED173" s="87"/>
      <c r="EE173" s="87"/>
      <c r="EF173" s="87"/>
      <c r="EG173" s="87"/>
      <c r="EH173" s="87"/>
      <c r="EI173" s="87"/>
      <c r="EJ173" s="87"/>
      <c r="EK173" s="87"/>
      <c r="EL173" s="88"/>
      <c r="EM173" s="85"/>
      <c r="EN173" s="86"/>
      <c r="EO173" s="86"/>
      <c r="EP173" s="86"/>
      <c r="EQ173" s="87"/>
      <c r="ER173" s="87"/>
      <c r="ES173" s="87"/>
      <c r="ET173" s="87"/>
      <c r="EU173" s="87"/>
      <c r="EV173" s="87"/>
      <c r="EW173" s="87"/>
      <c r="EX173" s="87"/>
      <c r="EY173" s="87"/>
      <c r="EZ173" s="87"/>
      <c r="FA173" s="87"/>
      <c r="FB173" s="87"/>
      <c r="FC173" s="87"/>
      <c r="FD173" s="87"/>
      <c r="FE173" s="89"/>
    </row>
    <row r="174" spans="2:161" s="6" customFormat="1" ht="13.2">
      <c r="B174" s="93" t="s">
        <v>313</v>
      </c>
      <c r="C174" s="111" t="s">
        <v>314</v>
      </c>
      <c r="D174" s="106">
        <f t="shared" ref="D174:BO174" si="85">SUM(D175:D190)</f>
        <v>25790.019999999997</v>
      </c>
      <c r="E174" s="95">
        <f t="shared" si="85"/>
        <v>14619.789843389892</v>
      </c>
      <c r="F174" s="96">
        <f t="shared" si="85"/>
        <v>0</v>
      </c>
      <c r="G174" s="96">
        <f t="shared" si="85"/>
        <v>0</v>
      </c>
      <c r="H174" s="96">
        <f t="shared" si="85"/>
        <v>0</v>
      </c>
      <c r="I174" s="97">
        <f t="shared" si="85"/>
        <v>0</v>
      </c>
      <c r="J174" s="97">
        <f t="shared" si="85"/>
        <v>2256.5440019780717</v>
      </c>
      <c r="K174" s="97">
        <f t="shared" si="85"/>
        <v>0</v>
      </c>
      <c r="L174" s="97">
        <f t="shared" si="85"/>
        <v>0</v>
      </c>
      <c r="M174" s="97">
        <f t="shared" si="85"/>
        <v>248.08113004859916</v>
      </c>
      <c r="N174" s="97">
        <f t="shared" si="85"/>
        <v>206.17435962958569</v>
      </c>
      <c r="O174" s="97">
        <f t="shared" si="85"/>
        <v>0</v>
      </c>
      <c r="P174" s="97">
        <f t="shared" si="85"/>
        <v>169.18277677404956</v>
      </c>
      <c r="Q174" s="97">
        <f t="shared" si="85"/>
        <v>0</v>
      </c>
      <c r="R174" s="97">
        <f t="shared" si="85"/>
        <v>0</v>
      </c>
      <c r="S174" s="97">
        <f t="shared" si="85"/>
        <v>980.48560884021003</v>
      </c>
      <c r="T174" s="97">
        <f t="shared" si="85"/>
        <v>0</v>
      </c>
      <c r="U174" s="97">
        <f t="shared" si="85"/>
        <v>0</v>
      </c>
      <c r="V174" s="97">
        <f t="shared" si="85"/>
        <v>0</v>
      </c>
      <c r="W174" s="97">
        <f t="shared" si="85"/>
        <v>0</v>
      </c>
      <c r="X174" s="97">
        <f t="shared" si="85"/>
        <v>0</v>
      </c>
      <c r="Y174" s="97">
        <f t="shared" si="85"/>
        <v>0</v>
      </c>
      <c r="Z174" s="97">
        <f t="shared" si="85"/>
        <v>0</v>
      </c>
      <c r="AA174" s="97">
        <f t="shared" si="85"/>
        <v>0</v>
      </c>
      <c r="AB174" s="97">
        <f t="shared" si="85"/>
        <v>7309.7622793395913</v>
      </c>
      <c r="AC174" s="98">
        <f t="shared" si="85"/>
        <v>14619.789843389892</v>
      </c>
      <c r="AD174" s="99">
        <f t="shared" si="85"/>
        <v>0</v>
      </c>
      <c r="AE174" s="99">
        <f t="shared" si="85"/>
        <v>0</v>
      </c>
      <c r="AF174" s="99">
        <f t="shared" si="85"/>
        <v>0</v>
      </c>
      <c r="AG174" s="100">
        <f t="shared" si="85"/>
        <v>0</v>
      </c>
      <c r="AH174" s="100">
        <f t="shared" si="85"/>
        <v>2256.5440019780717</v>
      </c>
      <c r="AI174" s="100">
        <f t="shared" si="85"/>
        <v>0</v>
      </c>
      <c r="AJ174" s="100">
        <f t="shared" si="85"/>
        <v>0</v>
      </c>
      <c r="AK174" s="100">
        <f t="shared" si="85"/>
        <v>248.08113004859916</v>
      </c>
      <c r="AL174" s="100">
        <f t="shared" si="85"/>
        <v>206.17435962958569</v>
      </c>
      <c r="AM174" s="100">
        <f t="shared" si="85"/>
        <v>0</v>
      </c>
      <c r="AN174" s="100">
        <f t="shared" si="85"/>
        <v>169.18277677404956</v>
      </c>
      <c r="AO174" s="100">
        <f t="shared" si="85"/>
        <v>0</v>
      </c>
      <c r="AP174" s="100">
        <f t="shared" si="85"/>
        <v>0</v>
      </c>
      <c r="AQ174" s="100">
        <f t="shared" si="85"/>
        <v>980.48560884021003</v>
      </c>
      <c r="AR174" s="100">
        <f t="shared" si="85"/>
        <v>0</v>
      </c>
      <c r="AS174" s="100">
        <f t="shared" si="85"/>
        <v>0</v>
      </c>
      <c r="AT174" s="100">
        <f t="shared" si="85"/>
        <v>0</v>
      </c>
      <c r="AU174" s="97">
        <f t="shared" si="85"/>
        <v>0</v>
      </c>
      <c r="AV174" s="98">
        <f t="shared" si="85"/>
        <v>0</v>
      </c>
      <c r="AW174" s="99">
        <f t="shared" si="85"/>
        <v>0</v>
      </c>
      <c r="AX174" s="99">
        <f t="shared" si="85"/>
        <v>0</v>
      </c>
      <c r="AY174" s="99">
        <f t="shared" si="85"/>
        <v>0</v>
      </c>
      <c r="AZ174" s="100">
        <f t="shared" si="85"/>
        <v>0</v>
      </c>
      <c r="BA174" s="100">
        <f t="shared" si="85"/>
        <v>0</v>
      </c>
      <c r="BB174" s="100">
        <f t="shared" si="85"/>
        <v>0</v>
      </c>
      <c r="BC174" s="100">
        <f t="shared" si="85"/>
        <v>0</v>
      </c>
      <c r="BD174" s="100">
        <f t="shared" si="85"/>
        <v>0</v>
      </c>
      <c r="BE174" s="100">
        <f t="shared" si="85"/>
        <v>0</v>
      </c>
      <c r="BF174" s="100">
        <f t="shared" si="85"/>
        <v>0</v>
      </c>
      <c r="BG174" s="100">
        <f t="shared" si="85"/>
        <v>0</v>
      </c>
      <c r="BH174" s="100">
        <f t="shared" si="85"/>
        <v>0</v>
      </c>
      <c r="BI174" s="100">
        <f t="shared" si="85"/>
        <v>0</v>
      </c>
      <c r="BJ174" s="100">
        <f t="shared" si="85"/>
        <v>0</v>
      </c>
      <c r="BK174" s="100">
        <f t="shared" si="85"/>
        <v>0</v>
      </c>
      <c r="BL174" s="100">
        <f t="shared" si="85"/>
        <v>0</v>
      </c>
      <c r="BM174" s="100">
        <f t="shared" si="85"/>
        <v>0</v>
      </c>
      <c r="BN174" s="97">
        <f t="shared" si="85"/>
        <v>0</v>
      </c>
      <c r="BO174" s="98">
        <f t="shared" si="85"/>
        <v>0</v>
      </c>
      <c r="BP174" s="99">
        <f t="shared" ref="BP174:EA174" si="86">SUM(BP175:BP190)</f>
        <v>0</v>
      </c>
      <c r="BQ174" s="99">
        <f t="shared" si="86"/>
        <v>0</v>
      </c>
      <c r="BR174" s="99">
        <f t="shared" si="86"/>
        <v>0</v>
      </c>
      <c r="BS174" s="100">
        <f t="shared" si="86"/>
        <v>0</v>
      </c>
      <c r="BT174" s="100">
        <f t="shared" si="86"/>
        <v>0</v>
      </c>
      <c r="BU174" s="100">
        <f t="shared" si="86"/>
        <v>0</v>
      </c>
      <c r="BV174" s="100">
        <f t="shared" si="86"/>
        <v>0</v>
      </c>
      <c r="BW174" s="100">
        <f t="shared" si="86"/>
        <v>0</v>
      </c>
      <c r="BX174" s="100">
        <f t="shared" si="86"/>
        <v>0</v>
      </c>
      <c r="BY174" s="100">
        <f t="shared" si="86"/>
        <v>0</v>
      </c>
      <c r="BZ174" s="100">
        <f t="shared" si="86"/>
        <v>0</v>
      </c>
      <c r="CA174" s="100">
        <f t="shared" si="86"/>
        <v>0</v>
      </c>
      <c r="CB174" s="100">
        <f t="shared" si="86"/>
        <v>0</v>
      </c>
      <c r="CC174" s="100">
        <f t="shared" si="86"/>
        <v>0</v>
      </c>
      <c r="CD174" s="100">
        <f t="shared" si="86"/>
        <v>0</v>
      </c>
      <c r="CE174" s="100">
        <f t="shared" si="86"/>
        <v>0</v>
      </c>
      <c r="CF174" s="100">
        <f t="shared" si="86"/>
        <v>0</v>
      </c>
      <c r="CG174" s="97">
        <f t="shared" si="86"/>
        <v>0</v>
      </c>
      <c r="CH174" s="98">
        <f t="shared" si="86"/>
        <v>0</v>
      </c>
      <c r="CI174" s="99">
        <f t="shared" si="86"/>
        <v>0</v>
      </c>
      <c r="CJ174" s="99">
        <f t="shared" si="86"/>
        <v>0</v>
      </c>
      <c r="CK174" s="99">
        <f t="shared" si="86"/>
        <v>0</v>
      </c>
      <c r="CL174" s="100">
        <f t="shared" si="86"/>
        <v>0</v>
      </c>
      <c r="CM174" s="100">
        <f t="shared" si="86"/>
        <v>0</v>
      </c>
      <c r="CN174" s="100">
        <f t="shared" si="86"/>
        <v>0</v>
      </c>
      <c r="CO174" s="100">
        <f t="shared" si="86"/>
        <v>0</v>
      </c>
      <c r="CP174" s="100">
        <f t="shared" si="86"/>
        <v>0</v>
      </c>
      <c r="CQ174" s="100">
        <f t="shared" si="86"/>
        <v>0</v>
      </c>
      <c r="CR174" s="100">
        <f t="shared" si="86"/>
        <v>0</v>
      </c>
      <c r="CS174" s="100">
        <f t="shared" si="86"/>
        <v>0</v>
      </c>
      <c r="CT174" s="100">
        <f t="shared" si="86"/>
        <v>0</v>
      </c>
      <c r="CU174" s="100">
        <f t="shared" si="86"/>
        <v>0</v>
      </c>
      <c r="CV174" s="100">
        <f t="shared" si="86"/>
        <v>0</v>
      </c>
      <c r="CW174" s="100">
        <f t="shared" si="86"/>
        <v>0</v>
      </c>
      <c r="CX174" s="100">
        <f t="shared" si="86"/>
        <v>0</v>
      </c>
      <c r="CY174" s="100">
        <f t="shared" si="86"/>
        <v>0</v>
      </c>
      <c r="CZ174" s="97">
        <f t="shared" si="86"/>
        <v>0</v>
      </c>
      <c r="DA174" s="98">
        <f t="shared" si="86"/>
        <v>0</v>
      </c>
      <c r="DB174" s="99">
        <f t="shared" si="86"/>
        <v>0</v>
      </c>
      <c r="DC174" s="99">
        <f t="shared" si="86"/>
        <v>0</v>
      </c>
      <c r="DD174" s="99">
        <f t="shared" si="86"/>
        <v>0</v>
      </c>
      <c r="DE174" s="100">
        <f t="shared" si="86"/>
        <v>0</v>
      </c>
      <c r="DF174" s="100">
        <f t="shared" si="86"/>
        <v>0</v>
      </c>
      <c r="DG174" s="100">
        <f t="shared" si="86"/>
        <v>0</v>
      </c>
      <c r="DH174" s="100">
        <f t="shared" si="86"/>
        <v>0</v>
      </c>
      <c r="DI174" s="100">
        <f t="shared" si="86"/>
        <v>0</v>
      </c>
      <c r="DJ174" s="100">
        <f t="shared" si="86"/>
        <v>0</v>
      </c>
      <c r="DK174" s="100">
        <f t="shared" si="86"/>
        <v>0</v>
      </c>
      <c r="DL174" s="100">
        <f t="shared" si="86"/>
        <v>0</v>
      </c>
      <c r="DM174" s="100">
        <f t="shared" si="86"/>
        <v>0</v>
      </c>
      <c r="DN174" s="100">
        <f t="shared" si="86"/>
        <v>0</v>
      </c>
      <c r="DO174" s="100">
        <f t="shared" si="86"/>
        <v>0</v>
      </c>
      <c r="DP174" s="100">
        <f t="shared" si="86"/>
        <v>0</v>
      </c>
      <c r="DQ174" s="100">
        <f t="shared" si="86"/>
        <v>0</v>
      </c>
      <c r="DR174" s="100">
        <f t="shared" si="86"/>
        <v>0</v>
      </c>
      <c r="DS174" s="97">
        <f t="shared" si="86"/>
        <v>0</v>
      </c>
      <c r="DT174" s="98">
        <f t="shared" si="86"/>
        <v>0</v>
      </c>
      <c r="DU174" s="99">
        <f t="shared" si="86"/>
        <v>0</v>
      </c>
      <c r="DV174" s="99">
        <f t="shared" si="86"/>
        <v>0</v>
      </c>
      <c r="DW174" s="99">
        <f t="shared" si="86"/>
        <v>0</v>
      </c>
      <c r="DX174" s="100">
        <f t="shared" si="86"/>
        <v>0</v>
      </c>
      <c r="DY174" s="100">
        <f t="shared" si="86"/>
        <v>0</v>
      </c>
      <c r="DZ174" s="100">
        <f t="shared" si="86"/>
        <v>0</v>
      </c>
      <c r="EA174" s="100">
        <f t="shared" si="86"/>
        <v>0</v>
      </c>
      <c r="EB174" s="100">
        <f t="shared" ref="EB174:GP174" si="87">SUM(EB175:EB190)</f>
        <v>0</v>
      </c>
      <c r="EC174" s="100">
        <f t="shared" si="87"/>
        <v>0</v>
      </c>
      <c r="ED174" s="100">
        <f t="shared" si="87"/>
        <v>0</v>
      </c>
      <c r="EE174" s="100">
        <f t="shared" si="87"/>
        <v>0</v>
      </c>
      <c r="EF174" s="100">
        <f t="shared" si="87"/>
        <v>0</v>
      </c>
      <c r="EG174" s="100">
        <f t="shared" si="87"/>
        <v>0</v>
      </c>
      <c r="EH174" s="100">
        <f t="shared" si="87"/>
        <v>0</v>
      </c>
      <c r="EI174" s="100">
        <f t="shared" si="87"/>
        <v>0</v>
      </c>
      <c r="EJ174" s="100">
        <f t="shared" si="87"/>
        <v>0</v>
      </c>
      <c r="EK174" s="100">
        <f t="shared" si="87"/>
        <v>0</v>
      </c>
      <c r="EL174" s="97">
        <f t="shared" si="87"/>
        <v>0</v>
      </c>
      <c r="EM174" s="98">
        <f t="shared" si="87"/>
        <v>0</v>
      </c>
      <c r="EN174" s="99">
        <f t="shared" si="87"/>
        <v>0</v>
      </c>
      <c r="EO174" s="99">
        <f t="shared" si="87"/>
        <v>0</v>
      </c>
      <c r="EP174" s="99">
        <f t="shared" si="87"/>
        <v>0</v>
      </c>
      <c r="EQ174" s="100">
        <f t="shared" si="87"/>
        <v>0</v>
      </c>
      <c r="ER174" s="100">
        <f t="shared" si="87"/>
        <v>0</v>
      </c>
      <c r="ES174" s="100">
        <f t="shared" si="87"/>
        <v>0</v>
      </c>
      <c r="ET174" s="100">
        <f t="shared" si="87"/>
        <v>0</v>
      </c>
      <c r="EU174" s="100">
        <f t="shared" si="87"/>
        <v>0</v>
      </c>
      <c r="EV174" s="100">
        <f t="shared" si="87"/>
        <v>0</v>
      </c>
      <c r="EW174" s="100">
        <f t="shared" si="87"/>
        <v>0</v>
      </c>
      <c r="EX174" s="100">
        <f t="shared" si="87"/>
        <v>0</v>
      </c>
      <c r="EY174" s="100">
        <f t="shared" si="87"/>
        <v>0</v>
      </c>
      <c r="EZ174" s="100">
        <f t="shared" si="87"/>
        <v>0</v>
      </c>
      <c r="FA174" s="100">
        <f t="shared" si="87"/>
        <v>0</v>
      </c>
      <c r="FB174" s="100">
        <f t="shared" si="87"/>
        <v>0</v>
      </c>
      <c r="FC174" s="100">
        <f t="shared" si="87"/>
        <v>0</v>
      </c>
      <c r="FD174" s="100">
        <f t="shared" si="87"/>
        <v>0</v>
      </c>
      <c r="FE174" s="101">
        <f t="shared" si="87"/>
        <v>0</v>
      </c>
    </row>
    <row r="175" spans="2:161" s="6" customFormat="1" ht="13.2">
      <c r="B175" s="108" t="s">
        <v>315</v>
      </c>
      <c r="C175" s="110" t="s">
        <v>316</v>
      </c>
      <c r="D175" s="81">
        <f t="shared" ref="D175:D190" si="88">SUM(E175:AB175)</f>
        <v>11319.95</v>
      </c>
      <c r="E175" s="82">
        <f t="shared" ref="E175:T190" si="89">SUM(AC175,AV175,BO175,CH175,DA175,DT175,EM175)</f>
        <v>9913.5132435862488</v>
      </c>
      <c r="F175" s="83">
        <f t="shared" si="89"/>
        <v>0</v>
      </c>
      <c r="G175" s="83">
        <f t="shared" si="89"/>
        <v>0</v>
      </c>
      <c r="H175" s="83">
        <f t="shared" si="89"/>
        <v>0</v>
      </c>
      <c r="I175" s="84">
        <f t="shared" si="89"/>
        <v>0</v>
      </c>
      <c r="J175" s="84">
        <f t="shared" si="89"/>
        <v>864.26968256868884</v>
      </c>
      <c r="K175" s="84">
        <f t="shared" si="89"/>
        <v>0</v>
      </c>
      <c r="L175" s="84">
        <f t="shared" si="89"/>
        <v>0</v>
      </c>
      <c r="M175" s="84">
        <f t="shared" si="89"/>
        <v>33.397361829492944</v>
      </c>
      <c r="N175" s="84">
        <f t="shared" si="89"/>
        <v>27.75575751031273</v>
      </c>
      <c r="O175" s="84">
        <f t="shared" si="89"/>
        <v>0</v>
      </c>
      <c r="P175" s="84">
        <f t="shared" si="89"/>
        <v>22.77584921567545</v>
      </c>
      <c r="Q175" s="84">
        <f t="shared" si="89"/>
        <v>0</v>
      </c>
      <c r="R175" s="84">
        <f t="shared" si="89"/>
        <v>0</v>
      </c>
      <c r="S175" s="84">
        <f t="shared" si="89"/>
        <v>450.50641439708522</v>
      </c>
      <c r="T175" s="84">
        <f t="shared" si="89"/>
        <v>0</v>
      </c>
      <c r="U175" s="84">
        <f t="shared" ref="U175:V190" si="90">SUM(AS175,BL175,CE175,CX175,DQ175,EJ175,FC175)</f>
        <v>0</v>
      </c>
      <c r="V175" s="84">
        <f t="shared" si="90"/>
        <v>0</v>
      </c>
      <c r="W175" s="84">
        <f>SIS064_F_Turtodraudimos1Elektrosenergi5</f>
        <v>0</v>
      </c>
      <c r="X175" s="84">
        <f>SUM(SIS062_F_Turtodraudimos1Geriamojovande1,SIS063_F_Turtodraudimos1Geriamojovande1,SIS065_F_Turtodraudimos1Geriamojovande1)</f>
        <v>0</v>
      </c>
      <c r="Y175" s="84">
        <f>SUM(SIS062_F_Turtodraudimos1Paslaugaproduk8,SIS063_F_Turtodraudimos1Paslaugaproduk8,SIS065_F_Turtodraudimos1Paslaugaproduk8)</f>
        <v>0</v>
      </c>
      <c r="Z175" s="84">
        <f>SIS064_F_Turtodraudimos1Elektrosenergi6</f>
        <v>0</v>
      </c>
      <c r="AA175" s="84">
        <f>SUM(SIS062_F_Turtodraudimos1Konkurencinesi1,SIS063_F_Turtodraudimos1Konkurencinesi1,SIS065_F_Turtodraudimos1Konkurencinesi1,)</f>
        <v>0</v>
      </c>
      <c r="AB175" s="84">
        <f>SUM(SIS062_F_Turtodraudimos1Paslaugaproduk9,SIS063_F_Turtodraudimos1Paslaugaproduk9,SIS065_F_Turtodraudimos1Paslaugaproduk9)</f>
        <v>7.7316908924958767</v>
      </c>
      <c r="AC175" s="85">
        <v>9913.5132435862488</v>
      </c>
      <c r="AD175" s="86">
        <v>0</v>
      </c>
      <c r="AE175" s="86">
        <v>0</v>
      </c>
      <c r="AF175" s="86">
        <v>0</v>
      </c>
      <c r="AG175" s="87">
        <v>0</v>
      </c>
      <c r="AH175" s="87">
        <v>864.26968256868884</v>
      </c>
      <c r="AI175" s="87">
        <v>0</v>
      </c>
      <c r="AJ175" s="87">
        <v>0</v>
      </c>
      <c r="AK175" s="87">
        <v>33.397361829492944</v>
      </c>
      <c r="AL175" s="87">
        <v>27.75575751031273</v>
      </c>
      <c r="AM175" s="87">
        <v>0</v>
      </c>
      <c r="AN175" s="87">
        <v>22.77584921567545</v>
      </c>
      <c r="AO175" s="87">
        <v>0</v>
      </c>
      <c r="AP175" s="87">
        <v>0</v>
      </c>
      <c r="AQ175" s="87">
        <v>450.50641439708522</v>
      </c>
      <c r="AR175" s="87">
        <v>0</v>
      </c>
      <c r="AS175" s="87">
        <v>0</v>
      </c>
      <c r="AT175" s="87">
        <v>0</v>
      </c>
      <c r="AU175" s="88">
        <v>0</v>
      </c>
      <c r="AV175" s="85">
        <v>0</v>
      </c>
      <c r="AW175" s="86">
        <v>0</v>
      </c>
      <c r="AX175" s="86">
        <v>0</v>
      </c>
      <c r="AY175" s="86">
        <v>0</v>
      </c>
      <c r="AZ175" s="87"/>
      <c r="BA175" s="87"/>
      <c r="BB175" s="87"/>
      <c r="BC175" s="87"/>
      <c r="BD175" s="87"/>
      <c r="BE175" s="87"/>
      <c r="BF175" s="87"/>
      <c r="BG175" s="87"/>
      <c r="BH175" s="87"/>
      <c r="BI175" s="87"/>
      <c r="BJ175" s="87"/>
      <c r="BK175" s="87"/>
      <c r="BL175" s="87"/>
      <c r="BM175" s="87"/>
      <c r="BN175" s="88"/>
      <c r="BO175" s="85"/>
      <c r="BP175" s="86"/>
      <c r="BQ175" s="86"/>
      <c r="BR175" s="86"/>
      <c r="BS175" s="87"/>
      <c r="BT175" s="87"/>
      <c r="BU175" s="87"/>
      <c r="BV175" s="87"/>
      <c r="BW175" s="87"/>
      <c r="BX175" s="87"/>
      <c r="BY175" s="87"/>
      <c r="BZ175" s="87"/>
      <c r="CA175" s="87"/>
      <c r="CB175" s="87"/>
      <c r="CC175" s="87"/>
      <c r="CD175" s="87"/>
      <c r="CE175" s="87"/>
      <c r="CF175" s="87"/>
      <c r="CG175" s="88"/>
      <c r="CH175" s="85"/>
      <c r="CI175" s="86"/>
      <c r="CJ175" s="86"/>
      <c r="CK175" s="86"/>
      <c r="CL175" s="87"/>
      <c r="CM175" s="87"/>
      <c r="CN175" s="87"/>
      <c r="CO175" s="87"/>
      <c r="CP175" s="87"/>
      <c r="CQ175" s="87"/>
      <c r="CR175" s="87"/>
      <c r="CS175" s="87"/>
      <c r="CT175" s="87"/>
      <c r="CU175" s="87"/>
      <c r="CV175" s="87"/>
      <c r="CW175" s="87"/>
      <c r="CX175" s="87"/>
      <c r="CY175" s="87"/>
      <c r="CZ175" s="88"/>
      <c r="DA175" s="85"/>
      <c r="DB175" s="86"/>
      <c r="DC175" s="86"/>
      <c r="DD175" s="86"/>
      <c r="DE175" s="87"/>
      <c r="DF175" s="87"/>
      <c r="DG175" s="87"/>
      <c r="DH175" s="87"/>
      <c r="DI175" s="87"/>
      <c r="DJ175" s="87"/>
      <c r="DK175" s="87"/>
      <c r="DL175" s="87"/>
      <c r="DM175" s="87"/>
      <c r="DN175" s="87"/>
      <c r="DO175" s="87"/>
      <c r="DP175" s="87"/>
      <c r="DQ175" s="87"/>
      <c r="DR175" s="87"/>
      <c r="DS175" s="88"/>
      <c r="DT175" s="85"/>
      <c r="DU175" s="86"/>
      <c r="DV175" s="86"/>
      <c r="DW175" s="86"/>
      <c r="DX175" s="87"/>
      <c r="DY175" s="87"/>
      <c r="DZ175" s="87"/>
      <c r="EA175" s="87"/>
      <c r="EB175" s="87"/>
      <c r="EC175" s="87"/>
      <c r="ED175" s="87"/>
      <c r="EE175" s="87"/>
      <c r="EF175" s="87"/>
      <c r="EG175" s="87"/>
      <c r="EH175" s="87"/>
      <c r="EI175" s="87"/>
      <c r="EJ175" s="87"/>
      <c r="EK175" s="87"/>
      <c r="EL175" s="88"/>
      <c r="EM175" s="85"/>
      <c r="EN175" s="86"/>
      <c r="EO175" s="86"/>
      <c r="EP175" s="86"/>
      <c r="EQ175" s="87"/>
      <c r="ER175" s="87"/>
      <c r="ES175" s="87"/>
      <c r="ET175" s="87"/>
      <c r="EU175" s="87"/>
      <c r="EV175" s="87"/>
      <c r="EW175" s="87"/>
      <c r="EX175" s="87"/>
      <c r="EY175" s="87"/>
      <c r="EZ175" s="87"/>
      <c r="FA175" s="87"/>
      <c r="FB175" s="87"/>
      <c r="FC175" s="87"/>
      <c r="FD175" s="87"/>
      <c r="FE175" s="89"/>
    </row>
    <row r="176" spans="2:161" s="6" customFormat="1" ht="13.2">
      <c r="B176" s="108" t="s">
        <v>317</v>
      </c>
      <c r="C176" s="110" t="s">
        <v>318</v>
      </c>
      <c r="D176" s="81">
        <f t="shared" si="88"/>
        <v>4293.5</v>
      </c>
      <c r="E176" s="82">
        <f t="shared" si="89"/>
        <v>2822.6135739327829</v>
      </c>
      <c r="F176" s="83">
        <f t="shared" si="89"/>
        <v>0</v>
      </c>
      <c r="G176" s="83">
        <f t="shared" si="89"/>
        <v>0</v>
      </c>
      <c r="H176" s="83">
        <f t="shared" si="89"/>
        <v>0</v>
      </c>
      <c r="I176" s="84">
        <f t="shared" si="89"/>
        <v>0</v>
      </c>
      <c r="J176" s="84">
        <f t="shared" si="89"/>
        <v>815.41200147337327</v>
      </c>
      <c r="K176" s="84">
        <f t="shared" si="89"/>
        <v>0</v>
      </c>
      <c r="L176" s="84">
        <f t="shared" si="89"/>
        <v>0</v>
      </c>
      <c r="M176" s="84">
        <f t="shared" si="89"/>
        <v>125.73364220468248</v>
      </c>
      <c r="N176" s="84">
        <f t="shared" si="89"/>
        <v>104.49425621516446</v>
      </c>
      <c r="O176" s="84">
        <f t="shared" si="89"/>
        <v>0</v>
      </c>
      <c r="P176" s="84">
        <f t="shared" si="89"/>
        <v>85.746008646186922</v>
      </c>
      <c r="Q176" s="84">
        <f t="shared" si="89"/>
        <v>0</v>
      </c>
      <c r="R176" s="84">
        <f t="shared" si="89"/>
        <v>0</v>
      </c>
      <c r="S176" s="84">
        <f t="shared" si="89"/>
        <v>310.39242026918765</v>
      </c>
      <c r="T176" s="84">
        <f t="shared" si="89"/>
        <v>0</v>
      </c>
      <c r="U176" s="84">
        <f t="shared" si="90"/>
        <v>0</v>
      </c>
      <c r="V176" s="84">
        <f t="shared" si="90"/>
        <v>0</v>
      </c>
      <c r="W176" s="84">
        <f>SIS064_F_Veiklosrizikos1Elektrosenergi5</f>
        <v>0</v>
      </c>
      <c r="X176" s="84">
        <f>SUM(SIS062_F_Veiklosrizikos1Geriamojovande1,SIS063_F_Veiklosrizikos1Geriamojovande1,SIS065_F_Veiklosrizikos1Geriamojovande1)</f>
        <v>0</v>
      </c>
      <c r="Y176" s="84">
        <f>SUM(SIS062_F_Veiklosrizikos1Paslaugaproduk8,SIS063_F_Veiklosrizikos1Paslaugaproduk8,SIS065_F_Veiklosrizikos1Paslaugaproduk8)</f>
        <v>0</v>
      </c>
      <c r="Z176" s="84">
        <f>SIS064_F_Veiklosrizikos1Elektrosenergi6</f>
        <v>0</v>
      </c>
      <c r="AA176" s="84">
        <f>SUM(SIS062_F_Veiklosrizikos1Konkurencinesi1,SIS063_F_Veiklosrizikos1Konkurencinesi1,SIS065_F_Veiklosrizikos1Konkurencinesi1,)</f>
        <v>0</v>
      </c>
      <c r="AB176" s="84">
        <f>SUM(SIS062_F_Veiklosrizikos1Paslaugaproduk9,SIS063_F_Veiklosrizikos1Paslaugaproduk9,SIS065_F_Veiklosrizikos1Paslaugaproduk9)</f>
        <v>29.108097258622241</v>
      </c>
      <c r="AC176" s="85">
        <v>2822.6135739327829</v>
      </c>
      <c r="AD176" s="86">
        <v>0</v>
      </c>
      <c r="AE176" s="86">
        <v>0</v>
      </c>
      <c r="AF176" s="86">
        <v>0</v>
      </c>
      <c r="AG176" s="87">
        <v>0</v>
      </c>
      <c r="AH176" s="87">
        <v>815.41200147337327</v>
      </c>
      <c r="AI176" s="87">
        <v>0</v>
      </c>
      <c r="AJ176" s="87">
        <v>0</v>
      </c>
      <c r="AK176" s="87">
        <v>125.73364220468248</v>
      </c>
      <c r="AL176" s="87">
        <v>104.49425621516446</v>
      </c>
      <c r="AM176" s="87">
        <v>0</v>
      </c>
      <c r="AN176" s="87">
        <v>85.746008646186922</v>
      </c>
      <c r="AO176" s="87">
        <v>0</v>
      </c>
      <c r="AP176" s="87">
        <v>0</v>
      </c>
      <c r="AQ176" s="87">
        <v>310.39242026918765</v>
      </c>
      <c r="AR176" s="87">
        <v>0</v>
      </c>
      <c r="AS176" s="87">
        <v>0</v>
      </c>
      <c r="AT176" s="87">
        <v>0</v>
      </c>
      <c r="AU176" s="88">
        <v>0</v>
      </c>
      <c r="AV176" s="85">
        <v>0</v>
      </c>
      <c r="AW176" s="86">
        <v>0</v>
      </c>
      <c r="AX176" s="86">
        <v>0</v>
      </c>
      <c r="AY176" s="86">
        <v>0</v>
      </c>
      <c r="AZ176" s="87"/>
      <c r="BA176" s="87"/>
      <c r="BB176" s="87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8"/>
      <c r="BO176" s="85"/>
      <c r="BP176" s="86"/>
      <c r="BQ176" s="86"/>
      <c r="BR176" s="86"/>
      <c r="BS176" s="87"/>
      <c r="BT176" s="87"/>
      <c r="BU176" s="87"/>
      <c r="BV176" s="87"/>
      <c r="BW176" s="87"/>
      <c r="BX176" s="87"/>
      <c r="BY176" s="87"/>
      <c r="BZ176" s="87"/>
      <c r="CA176" s="87"/>
      <c r="CB176" s="87"/>
      <c r="CC176" s="87"/>
      <c r="CD176" s="87"/>
      <c r="CE176" s="87"/>
      <c r="CF176" s="87"/>
      <c r="CG176" s="88"/>
      <c r="CH176" s="85"/>
      <c r="CI176" s="86"/>
      <c r="CJ176" s="86"/>
      <c r="CK176" s="86"/>
      <c r="CL176" s="87"/>
      <c r="CM176" s="87"/>
      <c r="CN176" s="87"/>
      <c r="CO176" s="87"/>
      <c r="CP176" s="87"/>
      <c r="CQ176" s="87"/>
      <c r="CR176" s="87"/>
      <c r="CS176" s="87"/>
      <c r="CT176" s="87"/>
      <c r="CU176" s="87"/>
      <c r="CV176" s="87"/>
      <c r="CW176" s="87"/>
      <c r="CX176" s="87"/>
      <c r="CY176" s="87"/>
      <c r="CZ176" s="88"/>
      <c r="DA176" s="85"/>
      <c r="DB176" s="86"/>
      <c r="DC176" s="86"/>
      <c r="DD176" s="86"/>
      <c r="DE176" s="87"/>
      <c r="DF176" s="87"/>
      <c r="DG176" s="87"/>
      <c r="DH176" s="87"/>
      <c r="DI176" s="87"/>
      <c r="DJ176" s="87"/>
      <c r="DK176" s="87"/>
      <c r="DL176" s="87"/>
      <c r="DM176" s="87"/>
      <c r="DN176" s="87"/>
      <c r="DO176" s="87"/>
      <c r="DP176" s="87"/>
      <c r="DQ176" s="87"/>
      <c r="DR176" s="87"/>
      <c r="DS176" s="88"/>
      <c r="DT176" s="85"/>
      <c r="DU176" s="86"/>
      <c r="DV176" s="86"/>
      <c r="DW176" s="86"/>
      <c r="DX176" s="87"/>
      <c r="DY176" s="87"/>
      <c r="DZ176" s="87"/>
      <c r="EA176" s="87"/>
      <c r="EB176" s="87"/>
      <c r="EC176" s="87"/>
      <c r="ED176" s="87"/>
      <c r="EE176" s="87"/>
      <c r="EF176" s="87"/>
      <c r="EG176" s="87"/>
      <c r="EH176" s="87"/>
      <c r="EI176" s="87"/>
      <c r="EJ176" s="87"/>
      <c r="EK176" s="87"/>
      <c r="EL176" s="88"/>
      <c r="EM176" s="85"/>
      <c r="EN176" s="86"/>
      <c r="EO176" s="86"/>
      <c r="EP176" s="86"/>
      <c r="EQ176" s="87"/>
      <c r="ER176" s="87"/>
      <c r="ES176" s="87"/>
      <c r="ET176" s="87"/>
      <c r="EU176" s="87"/>
      <c r="EV176" s="87"/>
      <c r="EW176" s="87"/>
      <c r="EX176" s="87"/>
      <c r="EY176" s="87"/>
      <c r="EZ176" s="87"/>
      <c r="FA176" s="87"/>
      <c r="FB176" s="87"/>
      <c r="FC176" s="87"/>
      <c r="FD176" s="87"/>
      <c r="FE176" s="89"/>
    </row>
    <row r="177" spans="2:161" s="6" customFormat="1" ht="13.2">
      <c r="B177" s="108" t="s">
        <v>319</v>
      </c>
      <c r="C177" s="110" t="s">
        <v>320</v>
      </c>
      <c r="D177" s="81">
        <f t="shared" si="88"/>
        <v>1462.12</v>
      </c>
      <c r="E177" s="82">
        <f t="shared" si="89"/>
        <v>941.83151293543006</v>
      </c>
      <c r="F177" s="83">
        <f t="shared" si="89"/>
        <v>0</v>
      </c>
      <c r="G177" s="83">
        <f t="shared" si="89"/>
        <v>0</v>
      </c>
      <c r="H177" s="83">
        <f t="shared" si="89"/>
        <v>0</v>
      </c>
      <c r="I177" s="84">
        <f t="shared" si="89"/>
        <v>0</v>
      </c>
      <c r="J177" s="84">
        <f t="shared" si="89"/>
        <v>288.43115896800492</v>
      </c>
      <c r="K177" s="84">
        <f t="shared" si="89"/>
        <v>0</v>
      </c>
      <c r="L177" s="84">
        <f t="shared" si="89"/>
        <v>0</v>
      </c>
      <c r="M177" s="84">
        <f t="shared" si="89"/>
        <v>44.475063007211887</v>
      </c>
      <c r="N177" s="84">
        <f t="shared" si="89"/>
        <v>36.962172952054253</v>
      </c>
      <c r="O177" s="84">
        <f t="shared" si="89"/>
        <v>0</v>
      </c>
      <c r="P177" s="84">
        <f t="shared" si="89"/>
        <v>30.330459456093582</v>
      </c>
      <c r="Q177" s="84">
        <f t="shared" si="89"/>
        <v>0</v>
      </c>
      <c r="R177" s="84">
        <f t="shared" si="89"/>
        <v>0</v>
      </c>
      <c r="S177" s="84">
        <f t="shared" si="89"/>
        <v>109.79338708696856</v>
      </c>
      <c r="T177" s="84">
        <f t="shared" si="89"/>
        <v>0</v>
      </c>
      <c r="U177" s="84">
        <f t="shared" si="90"/>
        <v>0</v>
      </c>
      <c r="V177" s="84">
        <f t="shared" si="90"/>
        <v>0</v>
      </c>
      <c r="W177" s="84">
        <f>SIS064_F_Auditofinansin1Elektrosenergi5</f>
        <v>0</v>
      </c>
      <c r="X177" s="84">
        <f>SUM(SIS062_F_Auditofinansin1Geriamojovande1,SIS063_F_Auditofinansin1Geriamojovande1,SIS065_F_Auditofinansin1Geriamojovande1)</f>
        <v>0</v>
      </c>
      <c r="Y177" s="84">
        <f>SUM(SIS062_F_Auditofinansin1Paslaugaproduk8,SIS063_F_Auditofinansin1Paslaugaproduk8,SIS065_F_Auditofinansin1Paslaugaproduk8)</f>
        <v>0</v>
      </c>
      <c r="Z177" s="84">
        <f>SIS064_F_Auditofinansin1Elektrosenergi6</f>
        <v>0</v>
      </c>
      <c r="AA177" s="84">
        <f>SUM(SIS062_F_Auditofinansin1Konkurencinesi1,SIS063_F_Auditofinansin1Konkurencinesi1,SIS065_F_Auditofinansin1Konkurencinesi1,)</f>
        <v>0</v>
      </c>
      <c r="AB177" s="84">
        <f>SUM(SIS062_F_Auditofinansin1Paslaugaproduk9,SIS063_F_Auditofinansin1Paslaugaproduk9,SIS065_F_Auditofinansin1Paslaugaproduk9)</f>
        <v>10.296245594236542</v>
      </c>
      <c r="AC177" s="85">
        <v>941.83151293543006</v>
      </c>
      <c r="AD177" s="86">
        <v>0</v>
      </c>
      <c r="AE177" s="86">
        <v>0</v>
      </c>
      <c r="AF177" s="86">
        <v>0</v>
      </c>
      <c r="AG177" s="87">
        <v>0</v>
      </c>
      <c r="AH177" s="87">
        <v>288.43115896800492</v>
      </c>
      <c r="AI177" s="87">
        <v>0</v>
      </c>
      <c r="AJ177" s="87">
        <v>0</v>
      </c>
      <c r="AK177" s="87">
        <v>44.475063007211887</v>
      </c>
      <c r="AL177" s="87">
        <v>36.962172952054253</v>
      </c>
      <c r="AM177" s="87">
        <v>0</v>
      </c>
      <c r="AN177" s="87">
        <v>30.330459456093582</v>
      </c>
      <c r="AO177" s="87">
        <v>0</v>
      </c>
      <c r="AP177" s="87">
        <v>0</v>
      </c>
      <c r="AQ177" s="87">
        <v>109.79338708696856</v>
      </c>
      <c r="AR177" s="87">
        <v>0</v>
      </c>
      <c r="AS177" s="87">
        <v>0</v>
      </c>
      <c r="AT177" s="87">
        <v>0</v>
      </c>
      <c r="AU177" s="88">
        <v>0</v>
      </c>
      <c r="AV177" s="85">
        <v>0</v>
      </c>
      <c r="AW177" s="86">
        <v>0</v>
      </c>
      <c r="AX177" s="86">
        <v>0</v>
      </c>
      <c r="AY177" s="86">
        <v>0</v>
      </c>
      <c r="AZ177" s="87"/>
      <c r="BA177" s="87"/>
      <c r="BB177" s="87"/>
      <c r="BC177" s="87"/>
      <c r="BD177" s="87"/>
      <c r="BE177" s="87"/>
      <c r="BF177" s="87"/>
      <c r="BG177" s="87"/>
      <c r="BH177" s="87"/>
      <c r="BI177" s="87"/>
      <c r="BJ177" s="87"/>
      <c r="BK177" s="87"/>
      <c r="BL177" s="87"/>
      <c r="BM177" s="87"/>
      <c r="BN177" s="88"/>
      <c r="BO177" s="85"/>
      <c r="BP177" s="86"/>
      <c r="BQ177" s="86"/>
      <c r="BR177" s="86"/>
      <c r="BS177" s="87"/>
      <c r="BT177" s="87"/>
      <c r="BU177" s="87"/>
      <c r="BV177" s="87"/>
      <c r="BW177" s="87"/>
      <c r="BX177" s="87"/>
      <c r="BY177" s="87"/>
      <c r="BZ177" s="87"/>
      <c r="CA177" s="87"/>
      <c r="CB177" s="87"/>
      <c r="CC177" s="87"/>
      <c r="CD177" s="87"/>
      <c r="CE177" s="87"/>
      <c r="CF177" s="87"/>
      <c r="CG177" s="88"/>
      <c r="CH177" s="85"/>
      <c r="CI177" s="86"/>
      <c r="CJ177" s="86"/>
      <c r="CK177" s="86"/>
      <c r="CL177" s="87"/>
      <c r="CM177" s="87"/>
      <c r="CN177" s="87"/>
      <c r="CO177" s="87"/>
      <c r="CP177" s="87"/>
      <c r="CQ177" s="87"/>
      <c r="CR177" s="87"/>
      <c r="CS177" s="87"/>
      <c r="CT177" s="87"/>
      <c r="CU177" s="87"/>
      <c r="CV177" s="87"/>
      <c r="CW177" s="87"/>
      <c r="CX177" s="87"/>
      <c r="CY177" s="87"/>
      <c r="CZ177" s="88"/>
      <c r="DA177" s="85"/>
      <c r="DB177" s="86"/>
      <c r="DC177" s="86"/>
      <c r="DD177" s="86"/>
      <c r="DE177" s="87"/>
      <c r="DF177" s="87"/>
      <c r="DG177" s="87"/>
      <c r="DH177" s="87"/>
      <c r="DI177" s="87"/>
      <c r="DJ177" s="87"/>
      <c r="DK177" s="87"/>
      <c r="DL177" s="87"/>
      <c r="DM177" s="87"/>
      <c r="DN177" s="87"/>
      <c r="DO177" s="87"/>
      <c r="DP177" s="87"/>
      <c r="DQ177" s="87"/>
      <c r="DR177" s="87"/>
      <c r="DS177" s="88"/>
      <c r="DT177" s="85"/>
      <c r="DU177" s="86"/>
      <c r="DV177" s="86"/>
      <c r="DW177" s="86"/>
      <c r="DX177" s="87"/>
      <c r="DY177" s="87"/>
      <c r="DZ177" s="87"/>
      <c r="EA177" s="87"/>
      <c r="EB177" s="87"/>
      <c r="EC177" s="87"/>
      <c r="ED177" s="87"/>
      <c r="EE177" s="87"/>
      <c r="EF177" s="87"/>
      <c r="EG177" s="87"/>
      <c r="EH177" s="87"/>
      <c r="EI177" s="87"/>
      <c r="EJ177" s="87"/>
      <c r="EK177" s="87"/>
      <c r="EL177" s="88"/>
      <c r="EM177" s="85"/>
      <c r="EN177" s="86"/>
      <c r="EO177" s="86"/>
      <c r="EP177" s="86"/>
      <c r="EQ177" s="87"/>
      <c r="ER177" s="87"/>
      <c r="ES177" s="87"/>
      <c r="ET177" s="87"/>
      <c r="EU177" s="87"/>
      <c r="EV177" s="87"/>
      <c r="EW177" s="87"/>
      <c r="EX177" s="87"/>
      <c r="EY177" s="87"/>
      <c r="EZ177" s="87"/>
      <c r="FA177" s="87"/>
      <c r="FB177" s="87"/>
      <c r="FC177" s="87"/>
      <c r="FD177" s="87"/>
      <c r="FE177" s="89"/>
    </row>
    <row r="178" spans="2:161" s="6" customFormat="1" ht="13.2">
      <c r="B178" s="108" t="s">
        <v>321</v>
      </c>
      <c r="C178" s="110" t="s">
        <v>322</v>
      </c>
      <c r="D178" s="81">
        <f t="shared" si="88"/>
        <v>1462.12</v>
      </c>
      <c r="E178" s="82">
        <f t="shared" si="89"/>
        <v>941.83151293543006</v>
      </c>
      <c r="F178" s="83">
        <f t="shared" si="89"/>
        <v>0</v>
      </c>
      <c r="G178" s="83">
        <f t="shared" si="89"/>
        <v>0</v>
      </c>
      <c r="H178" s="83">
        <f t="shared" si="89"/>
        <v>0</v>
      </c>
      <c r="I178" s="84">
        <f t="shared" si="89"/>
        <v>0</v>
      </c>
      <c r="J178" s="84">
        <f t="shared" si="89"/>
        <v>288.43115896800492</v>
      </c>
      <c r="K178" s="84">
        <f t="shared" si="89"/>
        <v>0</v>
      </c>
      <c r="L178" s="84">
        <f t="shared" si="89"/>
        <v>0</v>
      </c>
      <c r="M178" s="84">
        <f t="shared" si="89"/>
        <v>44.475063007211887</v>
      </c>
      <c r="N178" s="84">
        <f t="shared" si="89"/>
        <v>36.962172952054253</v>
      </c>
      <c r="O178" s="84">
        <f t="shared" si="89"/>
        <v>0</v>
      </c>
      <c r="P178" s="84">
        <f t="shared" si="89"/>
        <v>30.330459456093582</v>
      </c>
      <c r="Q178" s="84">
        <f t="shared" si="89"/>
        <v>0</v>
      </c>
      <c r="R178" s="84">
        <f t="shared" si="89"/>
        <v>0</v>
      </c>
      <c r="S178" s="84">
        <f t="shared" si="89"/>
        <v>109.79338708696856</v>
      </c>
      <c r="T178" s="84">
        <f t="shared" si="89"/>
        <v>0</v>
      </c>
      <c r="U178" s="84">
        <f t="shared" si="90"/>
        <v>0</v>
      </c>
      <c r="V178" s="84">
        <f t="shared" si="90"/>
        <v>0</v>
      </c>
      <c r="W178" s="84">
        <f>SIS064_F_Auditoreguliuo1Elektrosenergi5</f>
        <v>0</v>
      </c>
      <c r="X178" s="84">
        <f>SUM(SIS062_F_Auditoreguliuo1Geriamojovande1,SIS063_F_Auditoreguliuo1Geriamojovande1,SIS065_F_Auditoreguliuo1Geriamojovande1)</f>
        <v>0</v>
      </c>
      <c r="Y178" s="84">
        <f>SUM(SIS062_F_Auditoreguliuo1Paslaugaproduk8,SIS063_F_Auditoreguliuo1Paslaugaproduk8,SIS065_F_Auditoreguliuo1Paslaugaproduk8)</f>
        <v>0</v>
      </c>
      <c r="Z178" s="84">
        <f>SIS064_F_Auditoreguliuo1Elektrosenergi6</f>
        <v>0</v>
      </c>
      <c r="AA178" s="84">
        <f>SUM(SIS062_F_Auditoreguliuo1Konkurencinesi1,SIS063_F_Auditoreguliuo1Konkurencinesi1,SIS065_F_Auditoreguliuo1Konkurencinesi1,)</f>
        <v>0</v>
      </c>
      <c r="AB178" s="84">
        <f>SUM(SIS062_F_Auditoreguliuo1Paslaugaproduk9,SIS063_F_Auditoreguliuo1Paslaugaproduk9,SIS065_F_Auditoreguliuo1Paslaugaproduk9)</f>
        <v>10.296245594236542</v>
      </c>
      <c r="AC178" s="85">
        <v>941.83151293543006</v>
      </c>
      <c r="AD178" s="86">
        <v>0</v>
      </c>
      <c r="AE178" s="86">
        <v>0</v>
      </c>
      <c r="AF178" s="86">
        <v>0</v>
      </c>
      <c r="AG178" s="87">
        <v>0</v>
      </c>
      <c r="AH178" s="87">
        <v>288.43115896800492</v>
      </c>
      <c r="AI178" s="87">
        <v>0</v>
      </c>
      <c r="AJ178" s="87">
        <v>0</v>
      </c>
      <c r="AK178" s="87">
        <v>44.475063007211887</v>
      </c>
      <c r="AL178" s="87">
        <v>36.962172952054253</v>
      </c>
      <c r="AM178" s="87">
        <v>0</v>
      </c>
      <c r="AN178" s="87">
        <v>30.330459456093582</v>
      </c>
      <c r="AO178" s="87">
        <v>0</v>
      </c>
      <c r="AP178" s="87">
        <v>0</v>
      </c>
      <c r="AQ178" s="87">
        <v>109.79338708696856</v>
      </c>
      <c r="AR178" s="87">
        <v>0</v>
      </c>
      <c r="AS178" s="87">
        <v>0</v>
      </c>
      <c r="AT178" s="87">
        <v>0</v>
      </c>
      <c r="AU178" s="88">
        <v>0</v>
      </c>
      <c r="AV178" s="85">
        <v>0</v>
      </c>
      <c r="AW178" s="86">
        <v>0</v>
      </c>
      <c r="AX178" s="86">
        <v>0</v>
      </c>
      <c r="AY178" s="86">
        <v>0</v>
      </c>
      <c r="AZ178" s="87"/>
      <c r="BA178" s="87"/>
      <c r="BB178" s="87"/>
      <c r="BC178" s="87"/>
      <c r="BD178" s="87"/>
      <c r="BE178" s="87"/>
      <c r="BF178" s="87"/>
      <c r="BG178" s="87"/>
      <c r="BH178" s="87"/>
      <c r="BI178" s="87"/>
      <c r="BJ178" s="87"/>
      <c r="BK178" s="87"/>
      <c r="BL178" s="87"/>
      <c r="BM178" s="87"/>
      <c r="BN178" s="88"/>
      <c r="BO178" s="85"/>
      <c r="BP178" s="86"/>
      <c r="BQ178" s="86"/>
      <c r="BR178" s="86"/>
      <c r="BS178" s="87"/>
      <c r="BT178" s="87"/>
      <c r="BU178" s="87"/>
      <c r="BV178" s="87"/>
      <c r="BW178" s="87"/>
      <c r="BX178" s="87"/>
      <c r="BY178" s="87"/>
      <c r="BZ178" s="87"/>
      <c r="CA178" s="87"/>
      <c r="CB178" s="87"/>
      <c r="CC178" s="87"/>
      <c r="CD178" s="87"/>
      <c r="CE178" s="87"/>
      <c r="CF178" s="87"/>
      <c r="CG178" s="88"/>
      <c r="CH178" s="85"/>
      <c r="CI178" s="86"/>
      <c r="CJ178" s="86"/>
      <c r="CK178" s="86"/>
      <c r="CL178" s="87"/>
      <c r="CM178" s="87"/>
      <c r="CN178" s="87"/>
      <c r="CO178" s="87"/>
      <c r="CP178" s="87"/>
      <c r="CQ178" s="87"/>
      <c r="CR178" s="87"/>
      <c r="CS178" s="87"/>
      <c r="CT178" s="87"/>
      <c r="CU178" s="87"/>
      <c r="CV178" s="87"/>
      <c r="CW178" s="87"/>
      <c r="CX178" s="87"/>
      <c r="CY178" s="87"/>
      <c r="CZ178" s="88"/>
      <c r="DA178" s="85"/>
      <c r="DB178" s="86"/>
      <c r="DC178" s="86"/>
      <c r="DD178" s="86"/>
      <c r="DE178" s="87"/>
      <c r="DF178" s="87"/>
      <c r="DG178" s="87"/>
      <c r="DH178" s="87"/>
      <c r="DI178" s="87"/>
      <c r="DJ178" s="87"/>
      <c r="DK178" s="87"/>
      <c r="DL178" s="87"/>
      <c r="DM178" s="87"/>
      <c r="DN178" s="87"/>
      <c r="DO178" s="87"/>
      <c r="DP178" s="87"/>
      <c r="DQ178" s="87"/>
      <c r="DR178" s="87"/>
      <c r="DS178" s="88"/>
      <c r="DT178" s="85"/>
      <c r="DU178" s="86"/>
      <c r="DV178" s="86"/>
      <c r="DW178" s="86"/>
      <c r="DX178" s="87"/>
      <c r="DY178" s="87"/>
      <c r="DZ178" s="87"/>
      <c r="EA178" s="87"/>
      <c r="EB178" s="87"/>
      <c r="EC178" s="87"/>
      <c r="ED178" s="87"/>
      <c r="EE178" s="87"/>
      <c r="EF178" s="87"/>
      <c r="EG178" s="87"/>
      <c r="EH178" s="87"/>
      <c r="EI178" s="87"/>
      <c r="EJ178" s="87"/>
      <c r="EK178" s="87"/>
      <c r="EL178" s="88"/>
      <c r="EM178" s="85"/>
      <c r="EN178" s="86"/>
      <c r="EO178" s="86"/>
      <c r="EP178" s="86"/>
      <c r="EQ178" s="87"/>
      <c r="ER178" s="87"/>
      <c r="ES178" s="87"/>
      <c r="ET178" s="87"/>
      <c r="EU178" s="87"/>
      <c r="EV178" s="87"/>
      <c r="EW178" s="87"/>
      <c r="EX178" s="87"/>
      <c r="EY178" s="87"/>
      <c r="EZ178" s="87"/>
      <c r="FA178" s="87"/>
      <c r="FB178" s="87"/>
      <c r="FC178" s="87"/>
      <c r="FD178" s="87"/>
      <c r="FE178" s="89"/>
    </row>
    <row r="179" spans="2:161" s="6" customFormat="1" ht="13.2" hidden="1">
      <c r="B179" s="108" t="s">
        <v>323</v>
      </c>
      <c r="C179" s="110" t="s">
        <v>324</v>
      </c>
      <c r="D179" s="81">
        <f t="shared" si="88"/>
        <v>0</v>
      </c>
      <c r="E179" s="82">
        <f t="shared" si="89"/>
        <v>0</v>
      </c>
      <c r="F179" s="83">
        <f t="shared" si="89"/>
        <v>0</v>
      </c>
      <c r="G179" s="83">
        <f t="shared" si="89"/>
        <v>0</v>
      </c>
      <c r="H179" s="83">
        <f t="shared" si="89"/>
        <v>0</v>
      </c>
      <c r="I179" s="84">
        <f t="shared" si="89"/>
        <v>0</v>
      </c>
      <c r="J179" s="84">
        <f t="shared" si="89"/>
        <v>0</v>
      </c>
      <c r="K179" s="84">
        <f t="shared" si="89"/>
        <v>0</v>
      </c>
      <c r="L179" s="84">
        <f t="shared" si="89"/>
        <v>0</v>
      </c>
      <c r="M179" s="84">
        <f t="shared" si="89"/>
        <v>0</v>
      </c>
      <c r="N179" s="84">
        <f t="shared" si="89"/>
        <v>0</v>
      </c>
      <c r="O179" s="84">
        <f t="shared" si="89"/>
        <v>0</v>
      </c>
      <c r="P179" s="84">
        <f t="shared" si="89"/>
        <v>0</v>
      </c>
      <c r="Q179" s="84">
        <f t="shared" si="89"/>
        <v>0</v>
      </c>
      <c r="R179" s="84">
        <f t="shared" si="89"/>
        <v>0</v>
      </c>
      <c r="S179" s="84">
        <f t="shared" si="89"/>
        <v>0</v>
      </c>
      <c r="T179" s="84">
        <f t="shared" si="89"/>
        <v>0</v>
      </c>
      <c r="U179" s="84">
        <f t="shared" si="90"/>
        <v>0</v>
      </c>
      <c r="V179" s="84">
        <f t="shared" si="90"/>
        <v>0</v>
      </c>
      <c r="W179" s="84">
        <f>SIS064_F_Auditokitosana1Elektrosenergi5</f>
        <v>0</v>
      </c>
      <c r="X179" s="84">
        <f>SUM(SIS062_F_Auditokitosana1Geriamojovande1,SIS063_F_Auditokitosana1Geriamojovande1,SIS065_F_Auditokitosana1Geriamojovande1)</f>
        <v>0</v>
      </c>
      <c r="Y179" s="84">
        <f>SUM(SIS062_F_Auditokitosana1Paslaugaproduk8,SIS063_F_Auditokitosana1Paslaugaproduk8,SIS065_F_Auditokitosana1Paslaugaproduk8)</f>
        <v>0</v>
      </c>
      <c r="Z179" s="84">
        <f>SIS064_F_Auditokitosana1Elektrosenergi6</f>
        <v>0</v>
      </c>
      <c r="AA179" s="84">
        <f>SUM(SIS062_F_Auditokitosana1Konkurencinesi1,SIS063_F_Auditokitosana1Konkurencinesi1,SIS065_F_Auditokitosana1Konkurencinesi1,)</f>
        <v>0</v>
      </c>
      <c r="AB179" s="84">
        <f>SUM(SIS062_F_Auditokitosana1Paslaugaproduk9,SIS063_F_Auditokitosana1Paslaugaproduk9,SIS065_F_Auditokitosana1Paslaugaproduk9)</f>
        <v>0</v>
      </c>
      <c r="AC179" s="85">
        <v>0</v>
      </c>
      <c r="AD179" s="86">
        <v>0</v>
      </c>
      <c r="AE179" s="86">
        <v>0</v>
      </c>
      <c r="AF179" s="86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8">
        <v>0</v>
      </c>
      <c r="AV179" s="85">
        <v>0</v>
      </c>
      <c r="AW179" s="86">
        <v>0</v>
      </c>
      <c r="AX179" s="86">
        <v>0</v>
      </c>
      <c r="AY179" s="86">
        <v>0</v>
      </c>
      <c r="AZ179" s="87"/>
      <c r="BA179" s="87"/>
      <c r="BB179" s="87"/>
      <c r="BC179" s="87"/>
      <c r="BD179" s="87"/>
      <c r="BE179" s="87"/>
      <c r="BF179" s="87"/>
      <c r="BG179" s="87"/>
      <c r="BH179" s="87"/>
      <c r="BI179" s="87"/>
      <c r="BJ179" s="87"/>
      <c r="BK179" s="87"/>
      <c r="BL179" s="87"/>
      <c r="BM179" s="87"/>
      <c r="BN179" s="88"/>
      <c r="BO179" s="85"/>
      <c r="BP179" s="86"/>
      <c r="BQ179" s="86"/>
      <c r="BR179" s="86"/>
      <c r="BS179" s="87"/>
      <c r="BT179" s="87"/>
      <c r="BU179" s="87"/>
      <c r="BV179" s="87"/>
      <c r="BW179" s="87"/>
      <c r="BX179" s="87"/>
      <c r="BY179" s="87"/>
      <c r="BZ179" s="87"/>
      <c r="CA179" s="87"/>
      <c r="CB179" s="87"/>
      <c r="CC179" s="87"/>
      <c r="CD179" s="87"/>
      <c r="CE179" s="87"/>
      <c r="CF179" s="87"/>
      <c r="CG179" s="88"/>
      <c r="CH179" s="85"/>
      <c r="CI179" s="86"/>
      <c r="CJ179" s="86"/>
      <c r="CK179" s="86"/>
      <c r="CL179" s="87"/>
      <c r="CM179" s="87"/>
      <c r="CN179" s="87"/>
      <c r="CO179" s="87"/>
      <c r="CP179" s="87"/>
      <c r="CQ179" s="87"/>
      <c r="CR179" s="87"/>
      <c r="CS179" s="87"/>
      <c r="CT179" s="87"/>
      <c r="CU179" s="87"/>
      <c r="CV179" s="87"/>
      <c r="CW179" s="87"/>
      <c r="CX179" s="87"/>
      <c r="CY179" s="87"/>
      <c r="CZ179" s="88"/>
      <c r="DA179" s="85"/>
      <c r="DB179" s="86"/>
      <c r="DC179" s="86"/>
      <c r="DD179" s="86"/>
      <c r="DE179" s="87"/>
      <c r="DF179" s="87"/>
      <c r="DG179" s="87"/>
      <c r="DH179" s="87"/>
      <c r="DI179" s="87"/>
      <c r="DJ179" s="87"/>
      <c r="DK179" s="87"/>
      <c r="DL179" s="87"/>
      <c r="DM179" s="87"/>
      <c r="DN179" s="87"/>
      <c r="DO179" s="87"/>
      <c r="DP179" s="87"/>
      <c r="DQ179" s="87"/>
      <c r="DR179" s="87"/>
      <c r="DS179" s="88"/>
      <c r="DT179" s="85"/>
      <c r="DU179" s="86"/>
      <c r="DV179" s="86"/>
      <c r="DW179" s="86"/>
      <c r="DX179" s="87"/>
      <c r="DY179" s="87"/>
      <c r="DZ179" s="87"/>
      <c r="EA179" s="87"/>
      <c r="EB179" s="87"/>
      <c r="EC179" s="87"/>
      <c r="ED179" s="87"/>
      <c r="EE179" s="87"/>
      <c r="EF179" s="87"/>
      <c r="EG179" s="87"/>
      <c r="EH179" s="87"/>
      <c r="EI179" s="87"/>
      <c r="EJ179" s="87"/>
      <c r="EK179" s="87"/>
      <c r="EL179" s="88"/>
      <c r="EM179" s="85"/>
      <c r="EN179" s="86"/>
      <c r="EO179" s="86"/>
      <c r="EP179" s="86"/>
      <c r="EQ179" s="87"/>
      <c r="ER179" s="87"/>
      <c r="ES179" s="87"/>
      <c r="ET179" s="87"/>
      <c r="EU179" s="87"/>
      <c r="EV179" s="87"/>
      <c r="EW179" s="87"/>
      <c r="EX179" s="87"/>
      <c r="EY179" s="87"/>
      <c r="EZ179" s="87"/>
      <c r="FA179" s="87"/>
      <c r="FB179" s="87"/>
      <c r="FC179" s="87"/>
      <c r="FD179" s="87"/>
      <c r="FE179" s="89"/>
    </row>
    <row r="180" spans="2:161" s="6" customFormat="1" ht="13.2" hidden="1">
      <c r="B180" s="108" t="s">
        <v>325</v>
      </c>
      <c r="C180" s="110" t="s">
        <v>326</v>
      </c>
      <c r="D180" s="81">
        <f t="shared" si="88"/>
        <v>0</v>
      </c>
      <c r="E180" s="82">
        <f t="shared" si="89"/>
        <v>0</v>
      </c>
      <c r="F180" s="83">
        <f t="shared" si="89"/>
        <v>0</v>
      </c>
      <c r="G180" s="83">
        <f t="shared" si="89"/>
        <v>0</v>
      </c>
      <c r="H180" s="83">
        <f t="shared" si="89"/>
        <v>0</v>
      </c>
      <c r="I180" s="84">
        <f t="shared" si="89"/>
        <v>0</v>
      </c>
      <c r="J180" s="84">
        <f t="shared" si="89"/>
        <v>0</v>
      </c>
      <c r="K180" s="84">
        <f t="shared" si="89"/>
        <v>0</v>
      </c>
      <c r="L180" s="84">
        <f t="shared" si="89"/>
        <v>0</v>
      </c>
      <c r="M180" s="84">
        <f t="shared" si="89"/>
        <v>0</v>
      </c>
      <c r="N180" s="84">
        <f t="shared" si="89"/>
        <v>0</v>
      </c>
      <c r="O180" s="84">
        <f t="shared" si="89"/>
        <v>0</v>
      </c>
      <c r="P180" s="84">
        <f t="shared" si="89"/>
        <v>0</v>
      </c>
      <c r="Q180" s="84">
        <f t="shared" si="89"/>
        <v>0</v>
      </c>
      <c r="R180" s="84">
        <f t="shared" si="89"/>
        <v>0</v>
      </c>
      <c r="S180" s="84">
        <f t="shared" si="89"/>
        <v>0</v>
      </c>
      <c r="T180" s="84">
        <f t="shared" si="89"/>
        <v>0</v>
      </c>
      <c r="U180" s="84">
        <f t="shared" si="90"/>
        <v>0</v>
      </c>
      <c r="V180" s="84">
        <f t="shared" si="90"/>
        <v>0</v>
      </c>
      <c r="W180" s="84">
        <f>SIS064_F_Skoluisieskoji1Elektrosenergi5</f>
        <v>0</v>
      </c>
      <c r="X180" s="84">
        <f>SUM(SIS062_F_Skoluisieskoji1Geriamojovande1,SIS063_F_Skoluisieskoji1Geriamojovande1,SIS065_F_Skoluisieskoji1Geriamojovande1)</f>
        <v>0</v>
      </c>
      <c r="Y180" s="84">
        <f>SUM(SIS062_F_Skoluisieskoji1Paslaugaproduk8,SIS063_F_Skoluisieskoji1Paslaugaproduk8,SIS065_F_Skoluisieskoji1Paslaugaproduk8)</f>
        <v>0</v>
      </c>
      <c r="Z180" s="84">
        <f>SIS064_F_Skoluisieskoji1Elektrosenergi6</f>
        <v>0</v>
      </c>
      <c r="AA180" s="84">
        <f>SUM(SIS062_F_Skoluisieskoji1Konkurencinesi1,SIS063_F_Skoluisieskoji1Konkurencinesi1,SIS065_F_Skoluisieskoji1Konkurencinesi1,)</f>
        <v>0</v>
      </c>
      <c r="AB180" s="84">
        <f>SUM(SIS062_F_Skoluisieskoji1Paslaugaproduk9,SIS063_F_Skoluisieskoji1Paslaugaproduk9,SIS065_F_Skoluisieskoji1Paslaugaproduk9)</f>
        <v>0</v>
      </c>
      <c r="AC180" s="85">
        <v>0</v>
      </c>
      <c r="AD180" s="86">
        <v>0</v>
      </c>
      <c r="AE180" s="86">
        <v>0</v>
      </c>
      <c r="AF180" s="86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8">
        <v>0</v>
      </c>
      <c r="AV180" s="85">
        <v>0</v>
      </c>
      <c r="AW180" s="86">
        <v>0</v>
      </c>
      <c r="AX180" s="86">
        <v>0</v>
      </c>
      <c r="AY180" s="86">
        <v>0</v>
      </c>
      <c r="AZ180" s="87"/>
      <c r="BA180" s="87"/>
      <c r="BB180" s="87"/>
      <c r="BC180" s="87"/>
      <c r="BD180" s="87"/>
      <c r="BE180" s="87"/>
      <c r="BF180" s="87"/>
      <c r="BG180" s="87"/>
      <c r="BH180" s="87"/>
      <c r="BI180" s="87"/>
      <c r="BJ180" s="87"/>
      <c r="BK180" s="87"/>
      <c r="BL180" s="87"/>
      <c r="BM180" s="87"/>
      <c r="BN180" s="88"/>
      <c r="BO180" s="85"/>
      <c r="BP180" s="86"/>
      <c r="BQ180" s="86"/>
      <c r="BR180" s="86"/>
      <c r="BS180" s="87"/>
      <c r="BT180" s="87"/>
      <c r="BU180" s="87"/>
      <c r="BV180" s="87"/>
      <c r="BW180" s="87"/>
      <c r="BX180" s="87"/>
      <c r="BY180" s="87"/>
      <c r="BZ180" s="87"/>
      <c r="CA180" s="87"/>
      <c r="CB180" s="87"/>
      <c r="CC180" s="87"/>
      <c r="CD180" s="87"/>
      <c r="CE180" s="87"/>
      <c r="CF180" s="87"/>
      <c r="CG180" s="88"/>
      <c r="CH180" s="85"/>
      <c r="CI180" s="86"/>
      <c r="CJ180" s="86"/>
      <c r="CK180" s="86"/>
      <c r="CL180" s="87"/>
      <c r="CM180" s="87"/>
      <c r="CN180" s="87"/>
      <c r="CO180" s="87"/>
      <c r="CP180" s="87"/>
      <c r="CQ180" s="87"/>
      <c r="CR180" s="87"/>
      <c r="CS180" s="87"/>
      <c r="CT180" s="87"/>
      <c r="CU180" s="87"/>
      <c r="CV180" s="87"/>
      <c r="CW180" s="87"/>
      <c r="CX180" s="87"/>
      <c r="CY180" s="87"/>
      <c r="CZ180" s="88"/>
      <c r="DA180" s="85"/>
      <c r="DB180" s="86"/>
      <c r="DC180" s="86"/>
      <c r="DD180" s="86"/>
      <c r="DE180" s="87"/>
      <c r="DF180" s="87"/>
      <c r="DG180" s="87"/>
      <c r="DH180" s="87"/>
      <c r="DI180" s="87"/>
      <c r="DJ180" s="87"/>
      <c r="DK180" s="87"/>
      <c r="DL180" s="87"/>
      <c r="DM180" s="87"/>
      <c r="DN180" s="87"/>
      <c r="DO180" s="87"/>
      <c r="DP180" s="87"/>
      <c r="DQ180" s="87"/>
      <c r="DR180" s="87"/>
      <c r="DS180" s="88"/>
      <c r="DT180" s="85"/>
      <c r="DU180" s="86"/>
      <c r="DV180" s="86"/>
      <c r="DW180" s="86"/>
      <c r="DX180" s="87"/>
      <c r="DY180" s="87"/>
      <c r="DZ180" s="87"/>
      <c r="EA180" s="87"/>
      <c r="EB180" s="87"/>
      <c r="EC180" s="87"/>
      <c r="ED180" s="87"/>
      <c r="EE180" s="87"/>
      <c r="EF180" s="87"/>
      <c r="EG180" s="87"/>
      <c r="EH180" s="87"/>
      <c r="EI180" s="87"/>
      <c r="EJ180" s="87"/>
      <c r="EK180" s="87"/>
      <c r="EL180" s="88"/>
      <c r="EM180" s="85"/>
      <c r="EN180" s="86"/>
      <c r="EO180" s="86"/>
      <c r="EP180" s="86"/>
      <c r="EQ180" s="87"/>
      <c r="ER180" s="87"/>
      <c r="ES180" s="87"/>
      <c r="ET180" s="87"/>
      <c r="EU180" s="87"/>
      <c r="EV180" s="87"/>
      <c r="EW180" s="87"/>
      <c r="EX180" s="87"/>
      <c r="EY180" s="87"/>
      <c r="EZ180" s="87"/>
      <c r="FA180" s="87"/>
      <c r="FB180" s="87"/>
      <c r="FC180" s="87"/>
      <c r="FD180" s="87"/>
      <c r="FE180" s="89"/>
    </row>
    <row r="181" spans="2:161" s="6" customFormat="1" ht="13.2" hidden="1">
      <c r="B181" s="108" t="s">
        <v>327</v>
      </c>
      <c r="C181" s="110" t="s">
        <v>328</v>
      </c>
      <c r="D181" s="81">
        <f t="shared" si="88"/>
        <v>0</v>
      </c>
      <c r="E181" s="82">
        <f t="shared" si="89"/>
        <v>0</v>
      </c>
      <c r="F181" s="83">
        <f t="shared" si="89"/>
        <v>0</v>
      </c>
      <c r="G181" s="83">
        <f t="shared" si="89"/>
        <v>0</v>
      </c>
      <c r="H181" s="83">
        <f t="shared" si="89"/>
        <v>0</v>
      </c>
      <c r="I181" s="84">
        <f t="shared" si="89"/>
        <v>0</v>
      </c>
      <c r="J181" s="84">
        <f t="shared" si="89"/>
        <v>0</v>
      </c>
      <c r="K181" s="84">
        <f t="shared" si="89"/>
        <v>0</v>
      </c>
      <c r="L181" s="84">
        <f t="shared" si="89"/>
        <v>0</v>
      </c>
      <c r="M181" s="84">
        <f t="shared" si="89"/>
        <v>0</v>
      </c>
      <c r="N181" s="84">
        <f t="shared" si="89"/>
        <v>0</v>
      </c>
      <c r="O181" s="84">
        <f t="shared" si="89"/>
        <v>0</v>
      </c>
      <c r="P181" s="84">
        <f t="shared" si="89"/>
        <v>0</v>
      </c>
      <c r="Q181" s="84">
        <f t="shared" si="89"/>
        <v>0</v>
      </c>
      <c r="R181" s="84">
        <f t="shared" si="89"/>
        <v>0</v>
      </c>
      <c r="S181" s="84">
        <f t="shared" si="89"/>
        <v>0</v>
      </c>
      <c r="T181" s="84">
        <f t="shared" si="89"/>
        <v>0</v>
      </c>
      <c r="U181" s="84">
        <f t="shared" si="90"/>
        <v>0</v>
      </c>
      <c r="V181" s="84">
        <f t="shared" si="90"/>
        <v>0</v>
      </c>
      <c r="W181" s="84">
        <f>SIS064_F_Narystesstojam1Elektrosenergi5</f>
        <v>0</v>
      </c>
      <c r="X181" s="84">
        <f>SUM(SIS062_F_Narystesstojam1Geriamojovande1,SIS063_F_Narystesstojam1Geriamojovande1,SIS065_F_Narystesstojam1Geriamojovande1)</f>
        <v>0</v>
      </c>
      <c r="Y181" s="84">
        <f>SUM(SIS062_F_Narystesstojam1Paslaugaproduk8,SIS063_F_Narystesstojam1Paslaugaproduk8,SIS065_F_Narystesstojam1Paslaugaproduk8)</f>
        <v>0</v>
      </c>
      <c r="Z181" s="84">
        <f>SIS064_F_Narystesstojam1Elektrosenergi6</f>
        <v>0</v>
      </c>
      <c r="AA181" s="84">
        <f>SUM(SIS062_F_Narystesstojam1Konkurencinesi1,SIS063_F_Narystesstojam1Konkurencinesi1,SIS065_F_Narystesstojam1Konkurencinesi1,)</f>
        <v>0</v>
      </c>
      <c r="AB181" s="84">
        <f>SUM(SIS062_F_Narystesstojam1Paslaugaproduk9,SIS063_F_Narystesstojam1Paslaugaproduk9,SIS065_F_Narystesstojam1Paslaugaproduk9)</f>
        <v>0</v>
      </c>
      <c r="AC181" s="85">
        <v>0</v>
      </c>
      <c r="AD181" s="86">
        <v>0</v>
      </c>
      <c r="AE181" s="86">
        <v>0</v>
      </c>
      <c r="AF181" s="86">
        <v>0</v>
      </c>
      <c r="AG181" s="87">
        <v>0</v>
      </c>
      <c r="AH181" s="87">
        <v>0</v>
      </c>
      <c r="AI181" s="87">
        <v>0</v>
      </c>
      <c r="AJ181" s="87">
        <v>0</v>
      </c>
      <c r="AK181" s="87">
        <v>0</v>
      </c>
      <c r="AL181" s="87">
        <v>0</v>
      </c>
      <c r="AM181" s="87">
        <v>0</v>
      </c>
      <c r="AN181" s="87">
        <v>0</v>
      </c>
      <c r="AO181" s="87">
        <v>0</v>
      </c>
      <c r="AP181" s="87">
        <v>0</v>
      </c>
      <c r="AQ181" s="87">
        <v>0</v>
      </c>
      <c r="AR181" s="87">
        <v>0</v>
      </c>
      <c r="AS181" s="87">
        <v>0</v>
      </c>
      <c r="AT181" s="87">
        <v>0</v>
      </c>
      <c r="AU181" s="88">
        <v>0</v>
      </c>
      <c r="AV181" s="85">
        <v>0</v>
      </c>
      <c r="AW181" s="86">
        <v>0</v>
      </c>
      <c r="AX181" s="86">
        <v>0</v>
      </c>
      <c r="AY181" s="86">
        <v>0</v>
      </c>
      <c r="AZ181" s="87"/>
      <c r="BA181" s="87"/>
      <c r="BB181" s="87"/>
      <c r="BC181" s="87"/>
      <c r="BD181" s="87"/>
      <c r="BE181" s="87"/>
      <c r="BF181" s="87"/>
      <c r="BG181" s="87"/>
      <c r="BH181" s="87"/>
      <c r="BI181" s="87"/>
      <c r="BJ181" s="87"/>
      <c r="BK181" s="87"/>
      <c r="BL181" s="87"/>
      <c r="BM181" s="87"/>
      <c r="BN181" s="88"/>
      <c r="BO181" s="85"/>
      <c r="BP181" s="86"/>
      <c r="BQ181" s="86"/>
      <c r="BR181" s="86"/>
      <c r="BS181" s="87"/>
      <c r="BT181" s="87"/>
      <c r="BU181" s="87"/>
      <c r="BV181" s="87"/>
      <c r="BW181" s="87"/>
      <c r="BX181" s="87"/>
      <c r="BY181" s="87"/>
      <c r="BZ181" s="87"/>
      <c r="CA181" s="87"/>
      <c r="CB181" s="87"/>
      <c r="CC181" s="87"/>
      <c r="CD181" s="87"/>
      <c r="CE181" s="87"/>
      <c r="CF181" s="87"/>
      <c r="CG181" s="88"/>
      <c r="CH181" s="85"/>
      <c r="CI181" s="86"/>
      <c r="CJ181" s="86"/>
      <c r="CK181" s="86"/>
      <c r="CL181" s="87"/>
      <c r="CM181" s="87"/>
      <c r="CN181" s="87"/>
      <c r="CO181" s="87"/>
      <c r="CP181" s="87"/>
      <c r="CQ181" s="87"/>
      <c r="CR181" s="87"/>
      <c r="CS181" s="87"/>
      <c r="CT181" s="87"/>
      <c r="CU181" s="87"/>
      <c r="CV181" s="87"/>
      <c r="CW181" s="87"/>
      <c r="CX181" s="87"/>
      <c r="CY181" s="87"/>
      <c r="CZ181" s="88"/>
      <c r="DA181" s="85"/>
      <c r="DB181" s="86"/>
      <c r="DC181" s="86"/>
      <c r="DD181" s="86"/>
      <c r="DE181" s="87"/>
      <c r="DF181" s="87"/>
      <c r="DG181" s="87"/>
      <c r="DH181" s="87"/>
      <c r="DI181" s="87"/>
      <c r="DJ181" s="87"/>
      <c r="DK181" s="87"/>
      <c r="DL181" s="87"/>
      <c r="DM181" s="87"/>
      <c r="DN181" s="87"/>
      <c r="DO181" s="87"/>
      <c r="DP181" s="87"/>
      <c r="DQ181" s="87"/>
      <c r="DR181" s="87"/>
      <c r="DS181" s="88"/>
      <c r="DT181" s="85"/>
      <c r="DU181" s="86"/>
      <c r="DV181" s="86"/>
      <c r="DW181" s="86"/>
      <c r="DX181" s="87"/>
      <c r="DY181" s="87"/>
      <c r="DZ181" s="87"/>
      <c r="EA181" s="87"/>
      <c r="EB181" s="87"/>
      <c r="EC181" s="87"/>
      <c r="ED181" s="87"/>
      <c r="EE181" s="87"/>
      <c r="EF181" s="87"/>
      <c r="EG181" s="87"/>
      <c r="EH181" s="87"/>
      <c r="EI181" s="87"/>
      <c r="EJ181" s="87"/>
      <c r="EK181" s="87"/>
      <c r="EL181" s="88"/>
      <c r="EM181" s="85"/>
      <c r="EN181" s="86"/>
      <c r="EO181" s="86"/>
      <c r="EP181" s="86"/>
      <c r="EQ181" s="87"/>
      <c r="ER181" s="87"/>
      <c r="ES181" s="87"/>
      <c r="ET181" s="87"/>
      <c r="EU181" s="87"/>
      <c r="EV181" s="87"/>
      <c r="EW181" s="87"/>
      <c r="EX181" s="87"/>
      <c r="EY181" s="87"/>
      <c r="EZ181" s="87"/>
      <c r="FA181" s="87"/>
      <c r="FB181" s="87"/>
      <c r="FC181" s="87"/>
      <c r="FD181" s="87"/>
      <c r="FE181" s="89"/>
    </row>
    <row r="182" spans="2:161" s="6" customFormat="1" ht="13.8" thickBot="1">
      <c r="B182" s="108" t="s">
        <v>329</v>
      </c>
      <c r="C182" s="110" t="s">
        <v>330</v>
      </c>
      <c r="D182" s="81">
        <f t="shared" si="88"/>
        <v>7252.33</v>
      </c>
      <c r="E182" s="82">
        <f t="shared" si="89"/>
        <v>0</v>
      </c>
      <c r="F182" s="83">
        <f t="shared" si="89"/>
        <v>0</v>
      </c>
      <c r="G182" s="83">
        <f t="shared" si="89"/>
        <v>0</v>
      </c>
      <c r="H182" s="83">
        <f t="shared" si="89"/>
        <v>0</v>
      </c>
      <c r="I182" s="84">
        <f t="shared" si="89"/>
        <v>0</v>
      </c>
      <c r="J182" s="84">
        <f t="shared" si="89"/>
        <v>0</v>
      </c>
      <c r="K182" s="84">
        <f t="shared" si="89"/>
        <v>0</v>
      </c>
      <c r="L182" s="84">
        <f t="shared" si="89"/>
        <v>0</v>
      </c>
      <c r="M182" s="84">
        <f t="shared" si="89"/>
        <v>0</v>
      </c>
      <c r="N182" s="84">
        <f t="shared" si="89"/>
        <v>0</v>
      </c>
      <c r="O182" s="84">
        <f t="shared" si="89"/>
        <v>0</v>
      </c>
      <c r="P182" s="84">
        <f t="shared" si="89"/>
        <v>0</v>
      </c>
      <c r="Q182" s="84">
        <f t="shared" si="89"/>
        <v>0</v>
      </c>
      <c r="R182" s="84">
        <f t="shared" si="89"/>
        <v>0</v>
      </c>
      <c r="S182" s="84">
        <f t="shared" si="89"/>
        <v>0</v>
      </c>
      <c r="T182" s="84">
        <f t="shared" si="89"/>
        <v>0</v>
      </c>
      <c r="U182" s="84">
        <f t="shared" si="90"/>
        <v>0</v>
      </c>
      <c r="V182" s="84">
        <f t="shared" si="90"/>
        <v>0</v>
      </c>
      <c r="W182" s="84">
        <f>SIS064_F_Likviduotonura1Elektrosenergi5</f>
        <v>0</v>
      </c>
      <c r="X182" s="84">
        <f>SUM(SIS062_F_Likviduotonura1Geriamojovande1,SIS063_F_Likviduotonura1Geriamojovande1,SIS065_F_Likviduotonura1Geriamojovande1)</f>
        <v>0</v>
      </c>
      <c r="Y182" s="84">
        <f>SUM(SIS062_F_Likviduotonura1Paslaugaproduk8,SIS063_F_Likviduotonura1Paslaugaproduk8,SIS065_F_Likviduotonura1Paslaugaproduk8)</f>
        <v>0</v>
      </c>
      <c r="Z182" s="84">
        <f>SIS064_F_Likviduotonura1Elektrosenergi6</f>
        <v>0</v>
      </c>
      <c r="AA182" s="84">
        <f>SUM(SIS062_F_Likviduotonura1Konkurencinesi1,SIS063_F_Likviduotonura1Konkurencinesi1,SIS065_F_Likviduotonura1Konkurencinesi1,)</f>
        <v>0</v>
      </c>
      <c r="AB182" s="84">
        <f>SUM(SIS062_F_Likviduotonura1Paslaugaproduk9,SIS063_F_Likviduotonura1Paslaugaproduk9,SIS065_F_Likviduotonura1Paslaugaproduk9)</f>
        <v>7252.33</v>
      </c>
      <c r="AC182" s="85">
        <v>0</v>
      </c>
      <c r="AD182" s="86">
        <v>0</v>
      </c>
      <c r="AE182" s="86">
        <v>0</v>
      </c>
      <c r="AF182" s="86">
        <v>0</v>
      </c>
      <c r="AG182" s="87">
        <v>0</v>
      </c>
      <c r="AH182" s="87">
        <v>0</v>
      </c>
      <c r="AI182" s="87">
        <v>0</v>
      </c>
      <c r="AJ182" s="87">
        <v>0</v>
      </c>
      <c r="AK182" s="87">
        <v>0</v>
      </c>
      <c r="AL182" s="87">
        <v>0</v>
      </c>
      <c r="AM182" s="87">
        <v>0</v>
      </c>
      <c r="AN182" s="87">
        <v>0</v>
      </c>
      <c r="AO182" s="87">
        <v>0</v>
      </c>
      <c r="AP182" s="87">
        <v>0</v>
      </c>
      <c r="AQ182" s="87">
        <v>0</v>
      </c>
      <c r="AR182" s="87">
        <v>0</v>
      </c>
      <c r="AS182" s="87">
        <v>0</v>
      </c>
      <c r="AT182" s="87">
        <v>0</v>
      </c>
      <c r="AU182" s="88">
        <v>0</v>
      </c>
      <c r="AV182" s="85">
        <v>0</v>
      </c>
      <c r="AW182" s="86">
        <v>0</v>
      </c>
      <c r="AX182" s="86">
        <v>0</v>
      </c>
      <c r="AY182" s="86">
        <v>0</v>
      </c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8"/>
      <c r="BO182" s="85"/>
      <c r="BP182" s="86"/>
      <c r="BQ182" s="86"/>
      <c r="BR182" s="86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8"/>
      <c r="CH182" s="85"/>
      <c r="CI182" s="86"/>
      <c r="CJ182" s="86"/>
      <c r="CK182" s="86"/>
      <c r="CL182" s="87"/>
      <c r="CM182" s="87"/>
      <c r="CN182" s="87"/>
      <c r="CO182" s="87"/>
      <c r="CP182" s="87"/>
      <c r="CQ182" s="87"/>
      <c r="CR182" s="87"/>
      <c r="CS182" s="87"/>
      <c r="CT182" s="87"/>
      <c r="CU182" s="87"/>
      <c r="CV182" s="87"/>
      <c r="CW182" s="87"/>
      <c r="CX182" s="87"/>
      <c r="CY182" s="87"/>
      <c r="CZ182" s="88"/>
      <c r="DA182" s="85"/>
      <c r="DB182" s="86"/>
      <c r="DC182" s="86"/>
      <c r="DD182" s="86"/>
      <c r="DE182" s="87"/>
      <c r="DF182" s="87"/>
      <c r="DG182" s="87"/>
      <c r="DH182" s="87"/>
      <c r="DI182" s="87"/>
      <c r="DJ182" s="87"/>
      <c r="DK182" s="87"/>
      <c r="DL182" s="87"/>
      <c r="DM182" s="87"/>
      <c r="DN182" s="87"/>
      <c r="DO182" s="87"/>
      <c r="DP182" s="87"/>
      <c r="DQ182" s="87"/>
      <c r="DR182" s="87"/>
      <c r="DS182" s="88"/>
      <c r="DT182" s="85"/>
      <c r="DU182" s="86"/>
      <c r="DV182" s="86"/>
      <c r="DW182" s="86"/>
      <c r="DX182" s="87"/>
      <c r="DY182" s="87"/>
      <c r="DZ182" s="87"/>
      <c r="EA182" s="87"/>
      <c r="EB182" s="87"/>
      <c r="EC182" s="87"/>
      <c r="ED182" s="87"/>
      <c r="EE182" s="87"/>
      <c r="EF182" s="87"/>
      <c r="EG182" s="87"/>
      <c r="EH182" s="87"/>
      <c r="EI182" s="87"/>
      <c r="EJ182" s="87"/>
      <c r="EK182" s="87"/>
      <c r="EL182" s="88"/>
      <c r="EM182" s="85"/>
      <c r="EN182" s="86"/>
      <c r="EO182" s="86"/>
      <c r="EP182" s="86"/>
      <c r="EQ182" s="87"/>
      <c r="ER182" s="87"/>
      <c r="ES182" s="87"/>
      <c r="ET182" s="87"/>
      <c r="EU182" s="87"/>
      <c r="EV182" s="87"/>
      <c r="EW182" s="87"/>
      <c r="EX182" s="87"/>
      <c r="EY182" s="87"/>
      <c r="EZ182" s="87"/>
      <c r="FA182" s="87"/>
      <c r="FB182" s="87"/>
      <c r="FC182" s="87"/>
      <c r="FD182" s="87"/>
      <c r="FE182" s="89"/>
    </row>
    <row r="183" spans="2:161" s="6" customFormat="1" ht="13.2" hidden="1">
      <c r="B183" s="108" t="s">
        <v>331</v>
      </c>
      <c r="C183" s="110" t="s">
        <v>332</v>
      </c>
      <c r="D183" s="81">
        <f t="shared" si="88"/>
        <v>0</v>
      </c>
      <c r="E183" s="82">
        <f t="shared" si="89"/>
        <v>0</v>
      </c>
      <c r="F183" s="83">
        <f t="shared" si="89"/>
        <v>0</v>
      </c>
      <c r="G183" s="83">
        <f t="shared" si="89"/>
        <v>0</v>
      </c>
      <c r="H183" s="83">
        <f t="shared" si="89"/>
        <v>0</v>
      </c>
      <c r="I183" s="84">
        <f t="shared" si="89"/>
        <v>0</v>
      </c>
      <c r="J183" s="84">
        <f t="shared" si="89"/>
        <v>0</v>
      </c>
      <c r="K183" s="84">
        <f t="shared" si="89"/>
        <v>0</v>
      </c>
      <c r="L183" s="84">
        <f t="shared" si="89"/>
        <v>0</v>
      </c>
      <c r="M183" s="84">
        <f t="shared" si="89"/>
        <v>0</v>
      </c>
      <c r="N183" s="84">
        <f t="shared" si="89"/>
        <v>0</v>
      </c>
      <c r="O183" s="84">
        <f t="shared" si="89"/>
        <v>0</v>
      </c>
      <c r="P183" s="84">
        <f t="shared" si="89"/>
        <v>0</v>
      </c>
      <c r="Q183" s="84">
        <f t="shared" si="89"/>
        <v>0</v>
      </c>
      <c r="R183" s="84">
        <f t="shared" si="89"/>
        <v>0</v>
      </c>
      <c r="S183" s="84">
        <f t="shared" si="89"/>
        <v>0</v>
      </c>
      <c r="T183" s="84">
        <f t="shared" si="89"/>
        <v>0</v>
      </c>
      <c r="U183" s="84">
        <f t="shared" si="90"/>
        <v>0</v>
      </c>
      <c r="V183" s="84">
        <f t="shared" si="90"/>
        <v>0</v>
      </c>
      <c r="W183" s="84">
        <f>SIS064_F_Nurasytuatsisk1Elektrosenergi5</f>
        <v>0</v>
      </c>
      <c r="X183" s="84">
        <f>SUM(SIS062_F_Nurasytuatsisk1Geriamojovande1,SIS063_F_Nurasytuatsisk1Geriamojovande1,SIS065_F_Nurasytuatsisk1Geriamojovande1)</f>
        <v>0</v>
      </c>
      <c r="Y183" s="84">
        <f>SUM(SIS062_F_Nurasytuatsisk1Paslaugaproduk8,SIS063_F_Nurasytuatsisk1Paslaugaproduk8,SIS065_F_Nurasytuatsisk1Paslaugaproduk8)</f>
        <v>0</v>
      </c>
      <c r="Z183" s="84">
        <f>SIS064_F_Nurasytuatsisk1Elektrosenergi6</f>
        <v>0</v>
      </c>
      <c r="AA183" s="84">
        <f>SUM(SIS062_F_Nurasytuatsisk1Konkurencinesi1,SIS063_F_Nurasytuatsisk1Konkurencinesi1,SIS065_F_Nurasytuatsisk1Konkurencinesi1,)</f>
        <v>0</v>
      </c>
      <c r="AB183" s="84">
        <f>SUM(SIS062_F_Nurasytuatsisk1Paslaugaproduk9,SIS063_F_Nurasytuatsisk1Paslaugaproduk9,SIS065_F_Nurasytuatsisk1Paslaugaproduk9)</f>
        <v>0</v>
      </c>
      <c r="AC183" s="85">
        <v>0</v>
      </c>
      <c r="AD183" s="86">
        <v>0</v>
      </c>
      <c r="AE183" s="86">
        <v>0</v>
      </c>
      <c r="AF183" s="86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8">
        <v>0</v>
      </c>
      <c r="AV183" s="85">
        <v>0</v>
      </c>
      <c r="AW183" s="86">
        <v>0</v>
      </c>
      <c r="AX183" s="86">
        <v>0</v>
      </c>
      <c r="AY183" s="86">
        <v>0</v>
      </c>
      <c r="AZ183" s="87"/>
      <c r="BA183" s="87"/>
      <c r="BB183" s="87"/>
      <c r="BC183" s="87"/>
      <c r="BD183" s="87"/>
      <c r="BE183" s="87"/>
      <c r="BF183" s="87"/>
      <c r="BG183" s="87"/>
      <c r="BH183" s="87"/>
      <c r="BI183" s="87"/>
      <c r="BJ183" s="87"/>
      <c r="BK183" s="87"/>
      <c r="BL183" s="87"/>
      <c r="BM183" s="87"/>
      <c r="BN183" s="88"/>
      <c r="BO183" s="85"/>
      <c r="BP183" s="86"/>
      <c r="BQ183" s="86"/>
      <c r="BR183" s="86"/>
      <c r="BS183" s="87"/>
      <c r="BT183" s="87"/>
      <c r="BU183" s="87"/>
      <c r="BV183" s="87"/>
      <c r="BW183" s="87"/>
      <c r="BX183" s="87"/>
      <c r="BY183" s="87"/>
      <c r="BZ183" s="87"/>
      <c r="CA183" s="87"/>
      <c r="CB183" s="87"/>
      <c r="CC183" s="87"/>
      <c r="CD183" s="87"/>
      <c r="CE183" s="87"/>
      <c r="CF183" s="87"/>
      <c r="CG183" s="88"/>
      <c r="CH183" s="85"/>
      <c r="CI183" s="86"/>
      <c r="CJ183" s="86"/>
      <c r="CK183" s="86"/>
      <c r="CL183" s="87"/>
      <c r="CM183" s="87"/>
      <c r="CN183" s="87"/>
      <c r="CO183" s="87"/>
      <c r="CP183" s="87"/>
      <c r="CQ183" s="87"/>
      <c r="CR183" s="87"/>
      <c r="CS183" s="87"/>
      <c r="CT183" s="87"/>
      <c r="CU183" s="87"/>
      <c r="CV183" s="87"/>
      <c r="CW183" s="87"/>
      <c r="CX183" s="87"/>
      <c r="CY183" s="87"/>
      <c r="CZ183" s="88"/>
      <c r="DA183" s="85"/>
      <c r="DB183" s="86"/>
      <c r="DC183" s="86"/>
      <c r="DD183" s="86"/>
      <c r="DE183" s="87"/>
      <c r="DF183" s="87"/>
      <c r="DG183" s="87"/>
      <c r="DH183" s="87"/>
      <c r="DI183" s="87"/>
      <c r="DJ183" s="87"/>
      <c r="DK183" s="87"/>
      <c r="DL183" s="87"/>
      <c r="DM183" s="87"/>
      <c r="DN183" s="87"/>
      <c r="DO183" s="87"/>
      <c r="DP183" s="87"/>
      <c r="DQ183" s="87"/>
      <c r="DR183" s="87"/>
      <c r="DS183" s="88"/>
      <c r="DT183" s="85"/>
      <c r="DU183" s="86"/>
      <c r="DV183" s="86"/>
      <c r="DW183" s="86"/>
      <c r="DX183" s="87"/>
      <c r="DY183" s="87"/>
      <c r="DZ183" s="87"/>
      <c r="EA183" s="87"/>
      <c r="EB183" s="87"/>
      <c r="EC183" s="87"/>
      <c r="ED183" s="87"/>
      <c r="EE183" s="87"/>
      <c r="EF183" s="87"/>
      <c r="EG183" s="87"/>
      <c r="EH183" s="87"/>
      <c r="EI183" s="87"/>
      <c r="EJ183" s="87"/>
      <c r="EK183" s="87"/>
      <c r="EL183" s="88"/>
      <c r="EM183" s="85"/>
      <c r="EN183" s="86"/>
      <c r="EO183" s="86"/>
      <c r="EP183" s="86"/>
      <c r="EQ183" s="87"/>
      <c r="ER183" s="87"/>
      <c r="ES183" s="87"/>
      <c r="ET183" s="87"/>
      <c r="EU183" s="87"/>
      <c r="EV183" s="87"/>
      <c r="EW183" s="87"/>
      <c r="EX183" s="87"/>
      <c r="EY183" s="87"/>
      <c r="EZ183" s="87"/>
      <c r="FA183" s="87"/>
      <c r="FB183" s="87"/>
      <c r="FC183" s="87"/>
      <c r="FD183" s="87"/>
      <c r="FE183" s="89"/>
    </row>
    <row r="184" spans="2:161" s="6" customFormat="1" ht="13.2" hidden="1">
      <c r="B184" s="108" t="s">
        <v>333</v>
      </c>
      <c r="C184" s="109" t="s">
        <v>334</v>
      </c>
      <c r="D184" s="81">
        <f t="shared" si="88"/>
        <v>0</v>
      </c>
      <c r="E184" s="82">
        <f t="shared" si="89"/>
        <v>0</v>
      </c>
      <c r="F184" s="83">
        <f t="shared" si="89"/>
        <v>0</v>
      </c>
      <c r="G184" s="83">
        <f t="shared" si="89"/>
        <v>0</v>
      </c>
      <c r="H184" s="83">
        <f t="shared" si="89"/>
        <v>0</v>
      </c>
      <c r="I184" s="84">
        <f t="shared" si="89"/>
        <v>0</v>
      </c>
      <c r="J184" s="84">
        <f t="shared" si="89"/>
        <v>0</v>
      </c>
      <c r="K184" s="84">
        <f t="shared" si="89"/>
        <v>0</v>
      </c>
      <c r="L184" s="84">
        <f t="shared" si="89"/>
        <v>0</v>
      </c>
      <c r="M184" s="84">
        <f t="shared" si="89"/>
        <v>0</v>
      </c>
      <c r="N184" s="84">
        <f t="shared" si="89"/>
        <v>0</v>
      </c>
      <c r="O184" s="84">
        <f t="shared" si="89"/>
        <v>0</v>
      </c>
      <c r="P184" s="84">
        <f t="shared" si="89"/>
        <v>0</v>
      </c>
      <c r="Q184" s="84">
        <f t="shared" si="89"/>
        <v>0</v>
      </c>
      <c r="R184" s="84">
        <f t="shared" si="89"/>
        <v>0</v>
      </c>
      <c r="S184" s="84">
        <f t="shared" si="89"/>
        <v>0</v>
      </c>
      <c r="T184" s="84">
        <f t="shared" si="89"/>
        <v>0</v>
      </c>
      <c r="U184" s="84">
        <f t="shared" si="90"/>
        <v>0</v>
      </c>
      <c r="V184" s="84">
        <f t="shared" si="90"/>
        <v>0</v>
      </c>
      <c r="W184" s="84">
        <f>SIS064_F_Labdaraparamas1Elektrosenergi5</f>
        <v>0</v>
      </c>
      <c r="X184" s="84">
        <f>SUM(SIS062_F_Labdaraparamas1Geriamojovande1,SIS063_F_Labdaraparamas1Geriamojovande1,SIS065_F_Labdaraparamas1Geriamojovande1)</f>
        <v>0</v>
      </c>
      <c r="Y184" s="84">
        <f>SUM(SIS062_F_Labdaraparamas1Paslaugaproduk8,SIS063_F_Labdaraparamas1Paslaugaproduk8,SIS065_F_Labdaraparamas1Paslaugaproduk8)</f>
        <v>0</v>
      </c>
      <c r="Z184" s="84">
        <f>SIS064_F_Labdaraparamas1Elektrosenergi6</f>
        <v>0</v>
      </c>
      <c r="AA184" s="84">
        <f>SUM(SIS062_F_Labdaraparamas1Konkurencinesi1,SIS063_F_Labdaraparamas1Konkurencinesi1,SIS065_F_Labdaraparamas1Konkurencinesi1,)</f>
        <v>0</v>
      </c>
      <c r="AB184" s="84">
        <f>SUM(SIS062_F_Labdaraparamas1Paslaugaproduk9,SIS063_F_Labdaraparamas1Paslaugaproduk9,SIS065_F_Labdaraparamas1Paslaugaproduk9)</f>
        <v>0</v>
      </c>
      <c r="AC184" s="85">
        <v>0</v>
      </c>
      <c r="AD184" s="86">
        <v>0</v>
      </c>
      <c r="AE184" s="86">
        <v>0</v>
      </c>
      <c r="AF184" s="86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8">
        <v>0</v>
      </c>
      <c r="AV184" s="85">
        <v>0</v>
      </c>
      <c r="AW184" s="86">
        <v>0</v>
      </c>
      <c r="AX184" s="86">
        <v>0</v>
      </c>
      <c r="AY184" s="86">
        <v>0</v>
      </c>
      <c r="AZ184" s="87"/>
      <c r="BA184" s="87"/>
      <c r="BB184" s="87"/>
      <c r="BC184" s="87"/>
      <c r="BD184" s="87"/>
      <c r="BE184" s="87"/>
      <c r="BF184" s="87"/>
      <c r="BG184" s="87"/>
      <c r="BH184" s="87"/>
      <c r="BI184" s="87"/>
      <c r="BJ184" s="87"/>
      <c r="BK184" s="87"/>
      <c r="BL184" s="87"/>
      <c r="BM184" s="87"/>
      <c r="BN184" s="88"/>
      <c r="BO184" s="85"/>
      <c r="BP184" s="86"/>
      <c r="BQ184" s="86"/>
      <c r="BR184" s="86"/>
      <c r="BS184" s="87"/>
      <c r="BT184" s="87"/>
      <c r="BU184" s="87"/>
      <c r="BV184" s="87"/>
      <c r="BW184" s="87"/>
      <c r="BX184" s="87"/>
      <c r="BY184" s="87"/>
      <c r="BZ184" s="87"/>
      <c r="CA184" s="87"/>
      <c r="CB184" s="87"/>
      <c r="CC184" s="87"/>
      <c r="CD184" s="87"/>
      <c r="CE184" s="87"/>
      <c r="CF184" s="87"/>
      <c r="CG184" s="88"/>
      <c r="CH184" s="85"/>
      <c r="CI184" s="86"/>
      <c r="CJ184" s="86"/>
      <c r="CK184" s="86"/>
      <c r="CL184" s="87"/>
      <c r="CM184" s="87"/>
      <c r="CN184" s="87"/>
      <c r="CO184" s="87"/>
      <c r="CP184" s="87"/>
      <c r="CQ184" s="87"/>
      <c r="CR184" s="87"/>
      <c r="CS184" s="87"/>
      <c r="CT184" s="87"/>
      <c r="CU184" s="87"/>
      <c r="CV184" s="87"/>
      <c r="CW184" s="87"/>
      <c r="CX184" s="87"/>
      <c r="CY184" s="87"/>
      <c r="CZ184" s="88"/>
      <c r="DA184" s="85"/>
      <c r="DB184" s="86"/>
      <c r="DC184" s="86"/>
      <c r="DD184" s="86"/>
      <c r="DE184" s="87"/>
      <c r="DF184" s="87"/>
      <c r="DG184" s="87"/>
      <c r="DH184" s="87"/>
      <c r="DI184" s="87"/>
      <c r="DJ184" s="87"/>
      <c r="DK184" s="87"/>
      <c r="DL184" s="87"/>
      <c r="DM184" s="87"/>
      <c r="DN184" s="87"/>
      <c r="DO184" s="87"/>
      <c r="DP184" s="87"/>
      <c r="DQ184" s="87"/>
      <c r="DR184" s="87"/>
      <c r="DS184" s="88"/>
      <c r="DT184" s="85"/>
      <c r="DU184" s="86"/>
      <c r="DV184" s="86"/>
      <c r="DW184" s="86"/>
      <c r="DX184" s="87"/>
      <c r="DY184" s="87"/>
      <c r="DZ184" s="87"/>
      <c r="EA184" s="87"/>
      <c r="EB184" s="87"/>
      <c r="EC184" s="87"/>
      <c r="ED184" s="87"/>
      <c r="EE184" s="87"/>
      <c r="EF184" s="87"/>
      <c r="EG184" s="87"/>
      <c r="EH184" s="87"/>
      <c r="EI184" s="87"/>
      <c r="EJ184" s="87"/>
      <c r="EK184" s="87"/>
      <c r="EL184" s="88"/>
      <c r="EM184" s="85"/>
      <c r="EN184" s="86"/>
      <c r="EO184" s="86"/>
      <c r="EP184" s="86"/>
      <c r="EQ184" s="87"/>
      <c r="ER184" s="87"/>
      <c r="ES184" s="87"/>
      <c r="ET184" s="87"/>
      <c r="EU184" s="87"/>
      <c r="EV184" s="87"/>
      <c r="EW184" s="87"/>
      <c r="EX184" s="87"/>
      <c r="EY184" s="87"/>
      <c r="EZ184" s="87"/>
      <c r="FA184" s="87"/>
      <c r="FB184" s="87"/>
      <c r="FC184" s="87"/>
      <c r="FD184" s="87"/>
      <c r="FE184" s="89"/>
    </row>
    <row r="185" spans="2:161" s="6" customFormat="1" ht="13.2" hidden="1">
      <c r="B185" s="124" t="s">
        <v>335</v>
      </c>
      <c r="C185" s="109" t="s">
        <v>336</v>
      </c>
      <c r="D185" s="81">
        <f t="shared" si="88"/>
        <v>0</v>
      </c>
      <c r="E185" s="82">
        <f t="shared" si="89"/>
        <v>0</v>
      </c>
      <c r="F185" s="83">
        <f t="shared" si="89"/>
        <v>0</v>
      </c>
      <c r="G185" s="83">
        <f t="shared" si="89"/>
        <v>0</v>
      </c>
      <c r="H185" s="83">
        <f t="shared" si="89"/>
        <v>0</v>
      </c>
      <c r="I185" s="84">
        <f t="shared" si="89"/>
        <v>0</v>
      </c>
      <c r="J185" s="84">
        <f t="shared" si="89"/>
        <v>0</v>
      </c>
      <c r="K185" s="84">
        <f t="shared" si="89"/>
        <v>0</v>
      </c>
      <c r="L185" s="84">
        <f t="shared" si="89"/>
        <v>0</v>
      </c>
      <c r="M185" s="84">
        <f t="shared" si="89"/>
        <v>0</v>
      </c>
      <c r="N185" s="84">
        <f t="shared" si="89"/>
        <v>0</v>
      </c>
      <c r="O185" s="84">
        <f t="shared" si="89"/>
        <v>0</v>
      </c>
      <c r="P185" s="84">
        <f t="shared" si="89"/>
        <v>0</v>
      </c>
      <c r="Q185" s="84">
        <f t="shared" si="89"/>
        <v>0</v>
      </c>
      <c r="R185" s="84">
        <f t="shared" si="89"/>
        <v>0</v>
      </c>
      <c r="S185" s="84">
        <f t="shared" si="89"/>
        <v>0</v>
      </c>
      <c r="T185" s="84">
        <f t="shared" si="89"/>
        <v>0</v>
      </c>
      <c r="U185" s="84">
        <f t="shared" si="90"/>
        <v>0</v>
      </c>
      <c r="V185" s="84">
        <f t="shared" si="90"/>
        <v>0</v>
      </c>
      <c r="W185" s="84">
        <f>SIS064_F_Beviltiskossko1Elektrosenergi5</f>
        <v>0</v>
      </c>
      <c r="X185" s="84">
        <f>SUM(SIS062_F_Beviltiskossko1Geriamojovande1,SIS063_F_Beviltiskossko1Geriamojovande1,SIS065_F_Beviltiskossko1Geriamojovande1)</f>
        <v>0</v>
      </c>
      <c r="Y185" s="84">
        <f>SUM(SIS062_F_Beviltiskossko1Paslaugaproduk8,SIS063_F_Beviltiskossko1Paslaugaproduk8,SIS065_F_Beviltiskossko1Paslaugaproduk8)</f>
        <v>0</v>
      </c>
      <c r="Z185" s="84">
        <f>SIS064_F_Beviltiskossko1Elektrosenergi6</f>
        <v>0</v>
      </c>
      <c r="AA185" s="84">
        <f>SUM(SIS062_F_Beviltiskossko1Konkurencinesi1,SIS063_F_Beviltiskossko1Konkurencinesi1,SIS065_F_Beviltiskossko1Konkurencinesi1,)</f>
        <v>0</v>
      </c>
      <c r="AB185" s="84">
        <f>SUM(SIS062_F_Beviltiskossko1Paslaugaproduk9,SIS063_F_Beviltiskossko1Paslaugaproduk9,SIS065_F_Beviltiskossko1Paslaugaproduk9)</f>
        <v>0</v>
      </c>
      <c r="AC185" s="85">
        <v>0</v>
      </c>
      <c r="AD185" s="86">
        <v>0</v>
      </c>
      <c r="AE185" s="86">
        <v>0</v>
      </c>
      <c r="AF185" s="86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8">
        <v>0</v>
      </c>
      <c r="AV185" s="85">
        <v>0</v>
      </c>
      <c r="AW185" s="86">
        <v>0</v>
      </c>
      <c r="AX185" s="86">
        <v>0</v>
      </c>
      <c r="AY185" s="86">
        <v>0</v>
      </c>
      <c r="AZ185" s="87"/>
      <c r="BA185" s="87"/>
      <c r="BB185" s="87"/>
      <c r="BC185" s="87"/>
      <c r="BD185" s="87"/>
      <c r="BE185" s="87"/>
      <c r="BF185" s="87"/>
      <c r="BG185" s="87"/>
      <c r="BH185" s="87"/>
      <c r="BI185" s="87"/>
      <c r="BJ185" s="87"/>
      <c r="BK185" s="87"/>
      <c r="BL185" s="87"/>
      <c r="BM185" s="87"/>
      <c r="BN185" s="88"/>
      <c r="BO185" s="85"/>
      <c r="BP185" s="86"/>
      <c r="BQ185" s="86"/>
      <c r="BR185" s="86"/>
      <c r="BS185" s="87"/>
      <c r="BT185" s="87"/>
      <c r="BU185" s="87"/>
      <c r="BV185" s="87"/>
      <c r="BW185" s="87"/>
      <c r="BX185" s="87"/>
      <c r="BY185" s="87"/>
      <c r="BZ185" s="87"/>
      <c r="CA185" s="87"/>
      <c r="CB185" s="87"/>
      <c r="CC185" s="87"/>
      <c r="CD185" s="87"/>
      <c r="CE185" s="87"/>
      <c r="CF185" s="87"/>
      <c r="CG185" s="88"/>
      <c r="CH185" s="85"/>
      <c r="CI185" s="86"/>
      <c r="CJ185" s="86"/>
      <c r="CK185" s="86"/>
      <c r="CL185" s="87"/>
      <c r="CM185" s="87"/>
      <c r="CN185" s="87"/>
      <c r="CO185" s="87"/>
      <c r="CP185" s="87"/>
      <c r="CQ185" s="87"/>
      <c r="CR185" s="87"/>
      <c r="CS185" s="87"/>
      <c r="CT185" s="87"/>
      <c r="CU185" s="87"/>
      <c r="CV185" s="87"/>
      <c r="CW185" s="87"/>
      <c r="CX185" s="87"/>
      <c r="CY185" s="87"/>
      <c r="CZ185" s="88"/>
      <c r="DA185" s="85"/>
      <c r="DB185" s="86"/>
      <c r="DC185" s="86"/>
      <c r="DD185" s="86"/>
      <c r="DE185" s="87"/>
      <c r="DF185" s="87"/>
      <c r="DG185" s="87"/>
      <c r="DH185" s="87"/>
      <c r="DI185" s="87"/>
      <c r="DJ185" s="87"/>
      <c r="DK185" s="87"/>
      <c r="DL185" s="87"/>
      <c r="DM185" s="87"/>
      <c r="DN185" s="87"/>
      <c r="DO185" s="87"/>
      <c r="DP185" s="87"/>
      <c r="DQ185" s="87"/>
      <c r="DR185" s="87"/>
      <c r="DS185" s="88"/>
      <c r="DT185" s="85"/>
      <c r="DU185" s="86"/>
      <c r="DV185" s="86"/>
      <c r="DW185" s="86"/>
      <c r="DX185" s="87"/>
      <c r="DY185" s="87"/>
      <c r="DZ185" s="87"/>
      <c r="EA185" s="87"/>
      <c r="EB185" s="87"/>
      <c r="EC185" s="87"/>
      <c r="ED185" s="87"/>
      <c r="EE185" s="87"/>
      <c r="EF185" s="87"/>
      <c r="EG185" s="87"/>
      <c r="EH185" s="87"/>
      <c r="EI185" s="87"/>
      <c r="EJ185" s="87"/>
      <c r="EK185" s="87"/>
      <c r="EL185" s="88"/>
      <c r="EM185" s="85"/>
      <c r="EN185" s="86"/>
      <c r="EO185" s="86"/>
      <c r="EP185" s="86"/>
      <c r="EQ185" s="87"/>
      <c r="ER185" s="87"/>
      <c r="ES185" s="87"/>
      <c r="ET185" s="87"/>
      <c r="EU185" s="87"/>
      <c r="EV185" s="87"/>
      <c r="EW185" s="87"/>
      <c r="EX185" s="87"/>
      <c r="EY185" s="87"/>
      <c r="EZ185" s="87"/>
      <c r="FA185" s="87"/>
      <c r="FB185" s="87"/>
      <c r="FC185" s="87"/>
      <c r="FD185" s="87"/>
      <c r="FE185" s="89"/>
    </row>
    <row r="186" spans="2:161" s="6" customFormat="1" ht="13.2" hidden="1">
      <c r="B186" s="124" t="s">
        <v>337</v>
      </c>
      <c r="C186" s="109" t="s">
        <v>338</v>
      </c>
      <c r="D186" s="81">
        <f t="shared" si="88"/>
        <v>0</v>
      </c>
      <c r="E186" s="82">
        <f t="shared" si="89"/>
        <v>0</v>
      </c>
      <c r="F186" s="83">
        <f t="shared" si="89"/>
        <v>0</v>
      </c>
      <c r="G186" s="83">
        <f t="shared" si="89"/>
        <v>0</v>
      </c>
      <c r="H186" s="83">
        <f t="shared" si="89"/>
        <v>0</v>
      </c>
      <c r="I186" s="84">
        <f t="shared" si="89"/>
        <v>0</v>
      </c>
      <c r="J186" s="84">
        <f t="shared" si="89"/>
        <v>0</v>
      </c>
      <c r="K186" s="84">
        <f t="shared" si="89"/>
        <v>0</v>
      </c>
      <c r="L186" s="84">
        <f t="shared" si="89"/>
        <v>0</v>
      </c>
      <c r="M186" s="84">
        <f t="shared" si="89"/>
        <v>0</v>
      </c>
      <c r="N186" s="84">
        <f t="shared" si="89"/>
        <v>0</v>
      </c>
      <c r="O186" s="84">
        <f t="shared" si="89"/>
        <v>0</v>
      </c>
      <c r="P186" s="84">
        <f t="shared" si="89"/>
        <v>0</v>
      </c>
      <c r="Q186" s="84">
        <f t="shared" si="89"/>
        <v>0</v>
      </c>
      <c r="R186" s="84">
        <f t="shared" si="89"/>
        <v>0</v>
      </c>
      <c r="S186" s="84">
        <f t="shared" si="89"/>
        <v>0</v>
      </c>
      <c r="T186" s="84">
        <f t="shared" si="89"/>
        <v>0</v>
      </c>
      <c r="U186" s="84">
        <f t="shared" si="90"/>
        <v>0</v>
      </c>
      <c r="V186" s="84">
        <f t="shared" si="90"/>
        <v>0</v>
      </c>
      <c r="W186" s="84">
        <f>SIS064_F_Priskaitytosba1Elektrosenergi5</f>
        <v>0</v>
      </c>
      <c r="X186" s="84">
        <f>SUM(SIS062_F_Priskaitytosba1Geriamojovande1,SIS063_F_Priskaitytosba1Geriamojovande1,SIS065_F_Priskaitytosba1Geriamojovande1)</f>
        <v>0</v>
      </c>
      <c r="Y186" s="84">
        <f>SUM(SIS062_F_Priskaitytosba1Paslaugaproduk8,SIS063_F_Priskaitytosba1Paslaugaproduk8,SIS065_F_Priskaitytosba1Paslaugaproduk8)</f>
        <v>0</v>
      </c>
      <c r="Z186" s="84">
        <f>SIS064_F_Priskaitytosba1Elektrosenergi6</f>
        <v>0</v>
      </c>
      <c r="AA186" s="84">
        <f>SUM(SIS062_F_Priskaitytosba1Konkurencinesi1,SIS063_F_Priskaitytosba1Konkurencinesi1,SIS065_F_Priskaitytosba1Konkurencinesi1,)</f>
        <v>0</v>
      </c>
      <c r="AB186" s="84">
        <f>SUM(SIS062_F_Priskaitytosba1Paslaugaproduk9,SIS063_F_Priskaitytosba1Paslaugaproduk9,SIS065_F_Priskaitytosba1Paslaugaproduk9)</f>
        <v>0</v>
      </c>
      <c r="AC186" s="85">
        <v>0</v>
      </c>
      <c r="AD186" s="86">
        <v>0</v>
      </c>
      <c r="AE186" s="86">
        <v>0</v>
      </c>
      <c r="AF186" s="86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8">
        <v>0</v>
      </c>
      <c r="AV186" s="85">
        <v>0</v>
      </c>
      <c r="AW186" s="86">
        <v>0</v>
      </c>
      <c r="AX186" s="86">
        <v>0</v>
      </c>
      <c r="AY186" s="86">
        <v>0</v>
      </c>
      <c r="AZ186" s="87"/>
      <c r="BA186" s="87"/>
      <c r="BB186" s="87"/>
      <c r="BC186" s="87"/>
      <c r="BD186" s="87"/>
      <c r="BE186" s="87"/>
      <c r="BF186" s="87"/>
      <c r="BG186" s="87"/>
      <c r="BH186" s="87"/>
      <c r="BI186" s="87"/>
      <c r="BJ186" s="87"/>
      <c r="BK186" s="87"/>
      <c r="BL186" s="87"/>
      <c r="BM186" s="87"/>
      <c r="BN186" s="88"/>
      <c r="BO186" s="85"/>
      <c r="BP186" s="86"/>
      <c r="BQ186" s="86"/>
      <c r="BR186" s="86"/>
      <c r="BS186" s="87"/>
      <c r="BT186" s="87"/>
      <c r="BU186" s="87"/>
      <c r="BV186" s="87"/>
      <c r="BW186" s="87"/>
      <c r="BX186" s="87"/>
      <c r="BY186" s="87"/>
      <c r="BZ186" s="87"/>
      <c r="CA186" s="87"/>
      <c r="CB186" s="87"/>
      <c r="CC186" s="87"/>
      <c r="CD186" s="87"/>
      <c r="CE186" s="87"/>
      <c r="CF186" s="87"/>
      <c r="CG186" s="88"/>
      <c r="CH186" s="85"/>
      <c r="CI186" s="86"/>
      <c r="CJ186" s="86"/>
      <c r="CK186" s="86"/>
      <c r="CL186" s="87"/>
      <c r="CM186" s="87"/>
      <c r="CN186" s="87"/>
      <c r="CO186" s="87"/>
      <c r="CP186" s="87"/>
      <c r="CQ186" s="87"/>
      <c r="CR186" s="87"/>
      <c r="CS186" s="87"/>
      <c r="CT186" s="87"/>
      <c r="CU186" s="87"/>
      <c r="CV186" s="87"/>
      <c r="CW186" s="87"/>
      <c r="CX186" s="87"/>
      <c r="CY186" s="87"/>
      <c r="CZ186" s="88"/>
      <c r="DA186" s="85"/>
      <c r="DB186" s="86"/>
      <c r="DC186" s="86"/>
      <c r="DD186" s="86"/>
      <c r="DE186" s="87"/>
      <c r="DF186" s="87"/>
      <c r="DG186" s="87"/>
      <c r="DH186" s="87"/>
      <c r="DI186" s="87"/>
      <c r="DJ186" s="87"/>
      <c r="DK186" s="87"/>
      <c r="DL186" s="87"/>
      <c r="DM186" s="87"/>
      <c r="DN186" s="87"/>
      <c r="DO186" s="87"/>
      <c r="DP186" s="87"/>
      <c r="DQ186" s="87"/>
      <c r="DR186" s="87"/>
      <c r="DS186" s="88"/>
      <c r="DT186" s="85"/>
      <c r="DU186" s="86"/>
      <c r="DV186" s="86"/>
      <c r="DW186" s="86"/>
      <c r="DX186" s="87"/>
      <c r="DY186" s="87"/>
      <c r="DZ186" s="87"/>
      <c r="EA186" s="87"/>
      <c r="EB186" s="87"/>
      <c r="EC186" s="87"/>
      <c r="ED186" s="87"/>
      <c r="EE186" s="87"/>
      <c r="EF186" s="87"/>
      <c r="EG186" s="87"/>
      <c r="EH186" s="87"/>
      <c r="EI186" s="87"/>
      <c r="EJ186" s="87"/>
      <c r="EK186" s="87"/>
      <c r="EL186" s="88"/>
      <c r="EM186" s="85"/>
      <c r="EN186" s="86"/>
      <c r="EO186" s="86"/>
      <c r="EP186" s="86"/>
      <c r="EQ186" s="87"/>
      <c r="ER186" s="87"/>
      <c r="ES186" s="87"/>
      <c r="ET186" s="87"/>
      <c r="EU186" s="87"/>
      <c r="EV186" s="87"/>
      <c r="EW186" s="87"/>
      <c r="EX186" s="87"/>
      <c r="EY186" s="87"/>
      <c r="EZ186" s="87"/>
      <c r="FA186" s="87"/>
      <c r="FB186" s="87"/>
      <c r="FC186" s="87"/>
      <c r="FD186" s="87"/>
      <c r="FE186" s="89"/>
    </row>
    <row r="187" spans="2:161" s="6" customFormat="1" ht="13.2" hidden="1">
      <c r="B187" s="124" t="s">
        <v>339</v>
      </c>
      <c r="C187" s="109" t="s">
        <v>340</v>
      </c>
      <c r="D187" s="81">
        <f t="shared" si="88"/>
        <v>0</v>
      </c>
      <c r="E187" s="82">
        <f t="shared" si="89"/>
        <v>0</v>
      </c>
      <c r="F187" s="83">
        <f t="shared" si="89"/>
        <v>0</v>
      </c>
      <c r="G187" s="83">
        <f t="shared" si="89"/>
        <v>0</v>
      </c>
      <c r="H187" s="83">
        <f t="shared" si="89"/>
        <v>0</v>
      </c>
      <c r="I187" s="84">
        <f t="shared" si="89"/>
        <v>0</v>
      </c>
      <c r="J187" s="84">
        <f t="shared" si="89"/>
        <v>0</v>
      </c>
      <c r="K187" s="84">
        <f t="shared" si="89"/>
        <v>0</v>
      </c>
      <c r="L187" s="84">
        <f t="shared" si="89"/>
        <v>0</v>
      </c>
      <c r="M187" s="84">
        <f t="shared" si="89"/>
        <v>0</v>
      </c>
      <c r="N187" s="84">
        <f t="shared" si="89"/>
        <v>0</v>
      </c>
      <c r="O187" s="84">
        <f t="shared" si="89"/>
        <v>0</v>
      </c>
      <c r="P187" s="84">
        <f t="shared" si="89"/>
        <v>0</v>
      </c>
      <c r="Q187" s="84">
        <f t="shared" si="89"/>
        <v>0</v>
      </c>
      <c r="R187" s="84">
        <f t="shared" si="89"/>
        <v>0</v>
      </c>
      <c r="S187" s="84">
        <f t="shared" si="89"/>
        <v>0</v>
      </c>
      <c r="T187" s="84">
        <f t="shared" si="89"/>
        <v>0</v>
      </c>
      <c r="U187" s="84">
        <f t="shared" si="90"/>
        <v>0</v>
      </c>
      <c r="V187" s="84">
        <f t="shared" si="90"/>
        <v>0</v>
      </c>
      <c r="W187" s="84">
        <f>SIS064_F_Tantjemos1Elektrosenergi5</f>
        <v>0</v>
      </c>
      <c r="X187" s="84">
        <f>SUM(SIS062_F_Tantjemos1Geriamojovande1,SIS063_F_Tantjemos1Geriamojovande1,SIS065_F_Tantjemos1Geriamojovande1)</f>
        <v>0</v>
      </c>
      <c r="Y187" s="84">
        <f>SUM(SIS062_F_Tantjemos1Paslaugaproduk8,SIS063_F_Tantjemos1Paslaugaproduk8,SIS065_F_Tantjemos1Paslaugaproduk8)</f>
        <v>0</v>
      </c>
      <c r="Z187" s="84">
        <f>SIS064_F_Tantjemos1Elektrosenergi6</f>
        <v>0</v>
      </c>
      <c r="AA187" s="84">
        <f>SUM(SIS062_F_Tantjemos1Konkurencinesi1,SIS063_F_Tantjemos1Konkurencinesi1,SIS065_F_Tantjemos1Konkurencinesi1,)</f>
        <v>0</v>
      </c>
      <c r="AB187" s="84">
        <f>SUM(SIS062_F_Tantjemos1Paslaugaproduk9,SIS063_F_Tantjemos1Paslaugaproduk9,SIS065_F_Tantjemos1Paslaugaproduk9)</f>
        <v>0</v>
      </c>
      <c r="AC187" s="85">
        <v>0</v>
      </c>
      <c r="AD187" s="86">
        <v>0</v>
      </c>
      <c r="AE187" s="86">
        <v>0</v>
      </c>
      <c r="AF187" s="86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8">
        <v>0</v>
      </c>
      <c r="AV187" s="85">
        <v>0</v>
      </c>
      <c r="AW187" s="86">
        <v>0</v>
      </c>
      <c r="AX187" s="86">
        <v>0</v>
      </c>
      <c r="AY187" s="86">
        <v>0</v>
      </c>
      <c r="AZ187" s="87"/>
      <c r="BA187" s="87"/>
      <c r="BB187" s="87"/>
      <c r="BC187" s="87"/>
      <c r="BD187" s="87"/>
      <c r="BE187" s="87"/>
      <c r="BF187" s="87"/>
      <c r="BG187" s="87"/>
      <c r="BH187" s="87"/>
      <c r="BI187" s="87"/>
      <c r="BJ187" s="87"/>
      <c r="BK187" s="87"/>
      <c r="BL187" s="87"/>
      <c r="BM187" s="87"/>
      <c r="BN187" s="88"/>
      <c r="BO187" s="85"/>
      <c r="BP187" s="86"/>
      <c r="BQ187" s="86"/>
      <c r="BR187" s="86"/>
      <c r="BS187" s="87"/>
      <c r="BT187" s="87"/>
      <c r="BU187" s="87"/>
      <c r="BV187" s="87"/>
      <c r="BW187" s="87"/>
      <c r="BX187" s="87"/>
      <c r="BY187" s="87"/>
      <c r="BZ187" s="87"/>
      <c r="CA187" s="87"/>
      <c r="CB187" s="87"/>
      <c r="CC187" s="87"/>
      <c r="CD187" s="87"/>
      <c r="CE187" s="87"/>
      <c r="CF187" s="87"/>
      <c r="CG187" s="88"/>
      <c r="CH187" s="85"/>
      <c r="CI187" s="86"/>
      <c r="CJ187" s="86"/>
      <c r="CK187" s="86"/>
      <c r="CL187" s="87"/>
      <c r="CM187" s="87"/>
      <c r="CN187" s="87"/>
      <c r="CO187" s="87"/>
      <c r="CP187" s="87"/>
      <c r="CQ187" s="87"/>
      <c r="CR187" s="87"/>
      <c r="CS187" s="87"/>
      <c r="CT187" s="87"/>
      <c r="CU187" s="87"/>
      <c r="CV187" s="87"/>
      <c r="CW187" s="87"/>
      <c r="CX187" s="87"/>
      <c r="CY187" s="87"/>
      <c r="CZ187" s="88"/>
      <c r="DA187" s="85"/>
      <c r="DB187" s="86"/>
      <c r="DC187" s="86"/>
      <c r="DD187" s="86"/>
      <c r="DE187" s="87"/>
      <c r="DF187" s="87"/>
      <c r="DG187" s="87"/>
      <c r="DH187" s="87"/>
      <c r="DI187" s="87"/>
      <c r="DJ187" s="87"/>
      <c r="DK187" s="87"/>
      <c r="DL187" s="87"/>
      <c r="DM187" s="87"/>
      <c r="DN187" s="87"/>
      <c r="DO187" s="87"/>
      <c r="DP187" s="87"/>
      <c r="DQ187" s="87"/>
      <c r="DR187" s="87"/>
      <c r="DS187" s="88"/>
      <c r="DT187" s="85"/>
      <c r="DU187" s="86"/>
      <c r="DV187" s="86"/>
      <c r="DW187" s="86"/>
      <c r="DX187" s="87"/>
      <c r="DY187" s="87"/>
      <c r="DZ187" s="87"/>
      <c r="EA187" s="87"/>
      <c r="EB187" s="87"/>
      <c r="EC187" s="87"/>
      <c r="ED187" s="87"/>
      <c r="EE187" s="87"/>
      <c r="EF187" s="87"/>
      <c r="EG187" s="87"/>
      <c r="EH187" s="87"/>
      <c r="EI187" s="87"/>
      <c r="EJ187" s="87"/>
      <c r="EK187" s="87"/>
      <c r="EL187" s="88"/>
      <c r="EM187" s="85"/>
      <c r="EN187" s="86"/>
      <c r="EO187" s="86"/>
      <c r="EP187" s="86"/>
      <c r="EQ187" s="87"/>
      <c r="ER187" s="87"/>
      <c r="ES187" s="87"/>
      <c r="ET187" s="87"/>
      <c r="EU187" s="87"/>
      <c r="EV187" s="87"/>
      <c r="EW187" s="87"/>
      <c r="EX187" s="87"/>
      <c r="EY187" s="87"/>
      <c r="EZ187" s="87"/>
      <c r="FA187" s="87"/>
      <c r="FB187" s="87"/>
      <c r="FC187" s="87"/>
      <c r="FD187" s="87"/>
      <c r="FE187" s="89"/>
    </row>
    <row r="188" spans="2:161" s="6" customFormat="1" ht="13.2" hidden="1">
      <c r="B188" s="124" t="s">
        <v>341</v>
      </c>
      <c r="C188" s="109" t="s">
        <v>342</v>
      </c>
      <c r="D188" s="81">
        <f t="shared" si="88"/>
        <v>0</v>
      </c>
      <c r="E188" s="82">
        <f t="shared" si="89"/>
        <v>0</v>
      </c>
      <c r="F188" s="83">
        <f t="shared" si="89"/>
        <v>0</v>
      </c>
      <c r="G188" s="83">
        <f t="shared" si="89"/>
        <v>0</v>
      </c>
      <c r="H188" s="83">
        <f t="shared" si="89"/>
        <v>0</v>
      </c>
      <c r="I188" s="84">
        <f t="shared" si="89"/>
        <v>0</v>
      </c>
      <c r="J188" s="84">
        <f t="shared" si="89"/>
        <v>0</v>
      </c>
      <c r="K188" s="84">
        <f t="shared" si="89"/>
        <v>0</v>
      </c>
      <c r="L188" s="84">
        <f t="shared" si="89"/>
        <v>0</v>
      </c>
      <c r="M188" s="84">
        <f t="shared" si="89"/>
        <v>0</v>
      </c>
      <c r="N188" s="84">
        <f t="shared" si="89"/>
        <v>0</v>
      </c>
      <c r="O188" s="84">
        <f t="shared" si="89"/>
        <v>0</v>
      </c>
      <c r="P188" s="84">
        <f t="shared" si="89"/>
        <v>0</v>
      </c>
      <c r="Q188" s="84">
        <f t="shared" si="89"/>
        <v>0</v>
      </c>
      <c r="R188" s="84">
        <f t="shared" si="89"/>
        <v>0</v>
      </c>
      <c r="S188" s="84">
        <f t="shared" si="89"/>
        <v>0</v>
      </c>
      <c r="T188" s="84">
        <f t="shared" si="89"/>
        <v>0</v>
      </c>
      <c r="U188" s="84">
        <f t="shared" si="90"/>
        <v>0</v>
      </c>
      <c r="V188" s="84">
        <f t="shared" si="90"/>
        <v>0</v>
      </c>
      <c r="W188" s="84">
        <f>SIS064_F_Rezervinesgali1Elektrosenergi5</f>
        <v>0</v>
      </c>
      <c r="X188" s="84">
        <f>SUM(SIS062_F_Rezervinesgali1Geriamojovande1, SIS063_F_Rezervinesgali1Geriamojovande1, SIS065_F_Rezervinesgali1Geriamojovande1)</f>
        <v>0</v>
      </c>
      <c r="Y188" s="84">
        <f>SUM(SIS062_F_Rezervinesgali1Paslaugaproduk8, SIS063_F_Rezervinesgali1Paslaugaproduk8, SIS065_F_Rezervinesgali1Paslaugaproduk8)</f>
        <v>0</v>
      </c>
      <c r="Z188" s="84">
        <f>SIS064_F_Rezervinesgali1Elektrosenergi6</f>
        <v>0</v>
      </c>
      <c r="AA188" s="84">
        <f>SUM(SIS062_F_Rezervinesgali1Konkurencinesi1,SIS063_F_Rezervinesgali1Konkurencinesi1,SIS065_F_Rezervinesgali1Konkurencinesi1,)</f>
        <v>0</v>
      </c>
      <c r="AB188" s="84">
        <f>SUM(SIS062_F_Rezervinesgali1Paslaugaproduk9, SIS063_F_Rezervinesgali1Paslaugaproduk9, SIS065_F_Rezervinesgali1Paslaugaproduk9)</f>
        <v>0</v>
      </c>
      <c r="AC188" s="85">
        <v>0</v>
      </c>
      <c r="AD188" s="86">
        <v>0</v>
      </c>
      <c r="AE188" s="86">
        <v>0</v>
      </c>
      <c r="AF188" s="86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8">
        <v>0</v>
      </c>
      <c r="AV188" s="85">
        <v>0</v>
      </c>
      <c r="AW188" s="86">
        <v>0</v>
      </c>
      <c r="AX188" s="86">
        <v>0</v>
      </c>
      <c r="AY188" s="86">
        <v>0</v>
      </c>
      <c r="AZ188" s="87"/>
      <c r="BA188" s="87"/>
      <c r="BB188" s="87"/>
      <c r="BC188" s="87"/>
      <c r="BD188" s="87"/>
      <c r="BE188" s="87"/>
      <c r="BF188" s="87"/>
      <c r="BG188" s="87"/>
      <c r="BH188" s="87"/>
      <c r="BI188" s="87"/>
      <c r="BJ188" s="87"/>
      <c r="BK188" s="87"/>
      <c r="BL188" s="87"/>
      <c r="BM188" s="87"/>
      <c r="BN188" s="88"/>
      <c r="BO188" s="85"/>
      <c r="BP188" s="86"/>
      <c r="BQ188" s="86"/>
      <c r="BR188" s="86"/>
      <c r="BS188" s="87"/>
      <c r="BT188" s="87"/>
      <c r="BU188" s="87"/>
      <c r="BV188" s="87"/>
      <c r="BW188" s="87"/>
      <c r="BX188" s="87"/>
      <c r="BY188" s="87"/>
      <c r="BZ188" s="87"/>
      <c r="CA188" s="87"/>
      <c r="CB188" s="87"/>
      <c r="CC188" s="87"/>
      <c r="CD188" s="87"/>
      <c r="CE188" s="87"/>
      <c r="CF188" s="87"/>
      <c r="CG188" s="88"/>
      <c r="CH188" s="85"/>
      <c r="CI188" s="86"/>
      <c r="CJ188" s="86"/>
      <c r="CK188" s="86"/>
      <c r="CL188" s="87"/>
      <c r="CM188" s="87"/>
      <c r="CN188" s="87"/>
      <c r="CO188" s="87"/>
      <c r="CP188" s="87"/>
      <c r="CQ188" s="87"/>
      <c r="CR188" s="87"/>
      <c r="CS188" s="87"/>
      <c r="CT188" s="87"/>
      <c r="CU188" s="87"/>
      <c r="CV188" s="87"/>
      <c r="CW188" s="87"/>
      <c r="CX188" s="87"/>
      <c r="CY188" s="87"/>
      <c r="CZ188" s="88"/>
      <c r="DA188" s="85"/>
      <c r="DB188" s="86"/>
      <c r="DC188" s="86"/>
      <c r="DD188" s="86"/>
      <c r="DE188" s="87"/>
      <c r="DF188" s="87"/>
      <c r="DG188" s="87"/>
      <c r="DH188" s="87"/>
      <c r="DI188" s="87"/>
      <c r="DJ188" s="87"/>
      <c r="DK188" s="87"/>
      <c r="DL188" s="87"/>
      <c r="DM188" s="87"/>
      <c r="DN188" s="87"/>
      <c r="DO188" s="87"/>
      <c r="DP188" s="87"/>
      <c r="DQ188" s="87"/>
      <c r="DR188" s="87"/>
      <c r="DS188" s="88"/>
      <c r="DT188" s="85"/>
      <c r="DU188" s="86"/>
      <c r="DV188" s="86"/>
      <c r="DW188" s="86"/>
      <c r="DX188" s="87"/>
      <c r="DY188" s="87"/>
      <c r="DZ188" s="87"/>
      <c r="EA188" s="87"/>
      <c r="EB188" s="87"/>
      <c r="EC188" s="87"/>
      <c r="ED188" s="87"/>
      <c r="EE188" s="87"/>
      <c r="EF188" s="87"/>
      <c r="EG188" s="87"/>
      <c r="EH188" s="87"/>
      <c r="EI188" s="87"/>
      <c r="EJ188" s="87"/>
      <c r="EK188" s="87"/>
      <c r="EL188" s="88"/>
      <c r="EM188" s="85"/>
      <c r="EN188" s="86"/>
      <c r="EO188" s="86"/>
      <c r="EP188" s="86"/>
      <c r="EQ188" s="87"/>
      <c r="ER188" s="87"/>
      <c r="ES188" s="87"/>
      <c r="ET188" s="87"/>
      <c r="EU188" s="87"/>
      <c r="EV188" s="87"/>
      <c r="EW188" s="87"/>
      <c r="EX188" s="87"/>
      <c r="EY188" s="87"/>
      <c r="EZ188" s="87"/>
      <c r="FA188" s="87"/>
      <c r="FB188" s="87"/>
      <c r="FC188" s="87"/>
      <c r="FD188" s="87"/>
      <c r="FE188" s="89"/>
    </row>
    <row r="189" spans="2:161" s="6" customFormat="1" ht="13.2" hidden="1">
      <c r="B189" s="124" t="s">
        <v>343</v>
      </c>
      <c r="C189" s="125" t="str">
        <f>SIS055_D_Kitospastovios2</f>
        <v>Kitos pastoviosios sąnaudos (abejotinų skolų sąnaudos)</v>
      </c>
      <c r="D189" s="81">
        <f t="shared" si="88"/>
        <v>0</v>
      </c>
      <c r="E189" s="126">
        <f t="shared" si="89"/>
        <v>0</v>
      </c>
      <c r="F189" s="127">
        <f t="shared" si="89"/>
        <v>0</v>
      </c>
      <c r="G189" s="127">
        <f t="shared" si="89"/>
        <v>0</v>
      </c>
      <c r="H189" s="127">
        <f t="shared" si="89"/>
        <v>0</v>
      </c>
      <c r="I189" s="128">
        <f t="shared" si="89"/>
        <v>0</v>
      </c>
      <c r="J189" s="128">
        <f t="shared" si="89"/>
        <v>0</v>
      </c>
      <c r="K189" s="128">
        <f t="shared" si="89"/>
        <v>0</v>
      </c>
      <c r="L189" s="128">
        <f t="shared" si="89"/>
        <v>0</v>
      </c>
      <c r="M189" s="128">
        <f t="shared" si="89"/>
        <v>0</v>
      </c>
      <c r="N189" s="128">
        <f t="shared" si="89"/>
        <v>0</v>
      </c>
      <c r="O189" s="128">
        <f t="shared" si="89"/>
        <v>0</v>
      </c>
      <c r="P189" s="128">
        <f t="shared" si="89"/>
        <v>0</v>
      </c>
      <c r="Q189" s="128">
        <f t="shared" si="89"/>
        <v>0</v>
      </c>
      <c r="R189" s="128">
        <f t="shared" si="89"/>
        <v>0</v>
      </c>
      <c r="S189" s="128">
        <f t="shared" si="89"/>
        <v>0</v>
      </c>
      <c r="T189" s="128">
        <f>SUM(AR189,BK189,CD189,CW189,DP189,EI189,FB189)</f>
        <v>0</v>
      </c>
      <c r="U189" s="128">
        <f t="shared" si="90"/>
        <v>0</v>
      </c>
      <c r="V189" s="128">
        <f t="shared" si="90"/>
        <v>0</v>
      </c>
      <c r="W189" s="128">
        <f>SIS064_F_Kitospastovios2Elektrosenergi5</f>
        <v>0</v>
      </c>
      <c r="X189" s="128">
        <f>SUM(SIS062_F_Kitospastovios2Geriamojovande1,SIS063_F_Kitospastovios2Geriamojovande1,SIS065_F_Kitospastovios2Geriamojovande1)</f>
        <v>0</v>
      </c>
      <c r="Y189" s="128">
        <f>SUM(SIS062_F_Kitospastovios2Paslaugaproduk8,SIS063_F_Kitospastovios2Paslaugaproduk8,SIS065_F_Kitospastovios2Paslaugaproduk8)</f>
        <v>0</v>
      </c>
      <c r="Z189" s="128">
        <f>SIS064_F_Kitospastovios2Elektrosenergi6</f>
        <v>0</v>
      </c>
      <c r="AA189" s="84">
        <f>SUM(SIS062_F_Kitospastovios2Konkurencinesi1,SIS063_F_Kitospastovios2Konkurencinesi1,SIS065_F_Kitospastovios2Konkurencinesi1,)</f>
        <v>0</v>
      </c>
      <c r="AB189" s="128">
        <f>SUM(SIS062_F_Kitospastovios2Paslaugaproduk9,SIS063_F_Kitospastovios2Paslaugaproduk9,SIS065_F_Kitospastovios2Paslaugaproduk9)</f>
        <v>0</v>
      </c>
      <c r="AC189" s="85">
        <v>0</v>
      </c>
      <c r="AD189" s="86">
        <v>0</v>
      </c>
      <c r="AE189" s="86">
        <v>0</v>
      </c>
      <c r="AF189" s="86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8">
        <v>0</v>
      </c>
      <c r="AV189" s="85">
        <v>0</v>
      </c>
      <c r="AW189" s="86">
        <v>0</v>
      </c>
      <c r="AX189" s="86">
        <v>0</v>
      </c>
      <c r="AY189" s="86">
        <v>0</v>
      </c>
      <c r="AZ189" s="87"/>
      <c r="BA189" s="87"/>
      <c r="BB189" s="87"/>
      <c r="BC189" s="87"/>
      <c r="BD189" s="87"/>
      <c r="BE189" s="87"/>
      <c r="BF189" s="87"/>
      <c r="BG189" s="87"/>
      <c r="BH189" s="87"/>
      <c r="BI189" s="87"/>
      <c r="BJ189" s="87"/>
      <c r="BK189" s="87"/>
      <c r="BL189" s="87"/>
      <c r="BM189" s="87"/>
      <c r="BN189" s="88"/>
      <c r="BO189" s="85"/>
      <c r="BP189" s="86"/>
      <c r="BQ189" s="86"/>
      <c r="BR189" s="86"/>
      <c r="BS189" s="87"/>
      <c r="BT189" s="87"/>
      <c r="BU189" s="87"/>
      <c r="BV189" s="87"/>
      <c r="BW189" s="87"/>
      <c r="BX189" s="87"/>
      <c r="BY189" s="87"/>
      <c r="BZ189" s="87"/>
      <c r="CA189" s="87"/>
      <c r="CB189" s="87"/>
      <c r="CC189" s="87"/>
      <c r="CD189" s="87"/>
      <c r="CE189" s="87"/>
      <c r="CF189" s="87"/>
      <c r="CG189" s="88"/>
      <c r="CH189" s="85"/>
      <c r="CI189" s="86"/>
      <c r="CJ189" s="86"/>
      <c r="CK189" s="86"/>
      <c r="CL189" s="87"/>
      <c r="CM189" s="87"/>
      <c r="CN189" s="87"/>
      <c r="CO189" s="87"/>
      <c r="CP189" s="87"/>
      <c r="CQ189" s="87"/>
      <c r="CR189" s="87"/>
      <c r="CS189" s="87"/>
      <c r="CT189" s="87"/>
      <c r="CU189" s="87"/>
      <c r="CV189" s="87"/>
      <c r="CW189" s="87"/>
      <c r="CX189" s="87"/>
      <c r="CY189" s="87"/>
      <c r="CZ189" s="88"/>
      <c r="DA189" s="85"/>
      <c r="DB189" s="86"/>
      <c r="DC189" s="86"/>
      <c r="DD189" s="86"/>
      <c r="DE189" s="87"/>
      <c r="DF189" s="87"/>
      <c r="DG189" s="87"/>
      <c r="DH189" s="87"/>
      <c r="DI189" s="87"/>
      <c r="DJ189" s="87"/>
      <c r="DK189" s="87"/>
      <c r="DL189" s="87"/>
      <c r="DM189" s="87"/>
      <c r="DN189" s="87"/>
      <c r="DO189" s="87"/>
      <c r="DP189" s="87"/>
      <c r="DQ189" s="87"/>
      <c r="DR189" s="87"/>
      <c r="DS189" s="88"/>
      <c r="DT189" s="85"/>
      <c r="DU189" s="86"/>
      <c r="DV189" s="86"/>
      <c r="DW189" s="86"/>
      <c r="DX189" s="87"/>
      <c r="DY189" s="87"/>
      <c r="DZ189" s="87"/>
      <c r="EA189" s="87"/>
      <c r="EB189" s="87"/>
      <c r="EC189" s="87"/>
      <c r="ED189" s="87"/>
      <c r="EE189" s="87"/>
      <c r="EF189" s="87"/>
      <c r="EG189" s="87"/>
      <c r="EH189" s="87"/>
      <c r="EI189" s="87"/>
      <c r="EJ189" s="87"/>
      <c r="EK189" s="87"/>
      <c r="EL189" s="88"/>
      <c r="EM189" s="85"/>
      <c r="EN189" s="86"/>
      <c r="EO189" s="86"/>
      <c r="EP189" s="86"/>
      <c r="EQ189" s="87"/>
      <c r="ER189" s="87"/>
      <c r="ES189" s="87"/>
      <c r="ET189" s="87"/>
      <c r="EU189" s="87"/>
      <c r="EV189" s="87"/>
      <c r="EW189" s="87"/>
      <c r="EX189" s="87"/>
      <c r="EY189" s="87"/>
      <c r="EZ189" s="87"/>
      <c r="FA189" s="87"/>
      <c r="FB189" s="87"/>
      <c r="FC189" s="87"/>
      <c r="FD189" s="87"/>
      <c r="FE189" s="89"/>
    </row>
    <row r="190" spans="2:161" s="6" customFormat="1" ht="13.8" hidden="1" thickBot="1">
      <c r="B190" s="124" t="s">
        <v>344</v>
      </c>
      <c r="C190" s="125" t="str">
        <f>SIS055_D_Kitospastovios3</f>
        <v>Kitos pastoviosios sąnaudos (verslo dovanos)</v>
      </c>
      <c r="D190" s="81">
        <f t="shared" si="88"/>
        <v>0</v>
      </c>
      <c r="E190" s="126">
        <f t="shared" si="89"/>
        <v>0</v>
      </c>
      <c r="F190" s="127">
        <f t="shared" si="89"/>
        <v>0</v>
      </c>
      <c r="G190" s="127">
        <f t="shared" si="89"/>
        <v>0</v>
      </c>
      <c r="H190" s="127">
        <f t="shared" si="89"/>
        <v>0</v>
      </c>
      <c r="I190" s="128">
        <f t="shared" si="89"/>
        <v>0</v>
      </c>
      <c r="J190" s="128">
        <f t="shared" si="89"/>
        <v>0</v>
      </c>
      <c r="K190" s="128">
        <f t="shared" si="89"/>
        <v>0</v>
      </c>
      <c r="L190" s="128">
        <f t="shared" si="89"/>
        <v>0</v>
      </c>
      <c r="M190" s="128">
        <f t="shared" si="89"/>
        <v>0</v>
      </c>
      <c r="N190" s="128">
        <f t="shared" si="89"/>
        <v>0</v>
      </c>
      <c r="O190" s="128">
        <f t="shared" si="89"/>
        <v>0</v>
      </c>
      <c r="P190" s="128">
        <f t="shared" si="89"/>
        <v>0</v>
      </c>
      <c r="Q190" s="128">
        <f t="shared" si="89"/>
        <v>0</v>
      </c>
      <c r="R190" s="128">
        <f t="shared" si="89"/>
        <v>0</v>
      </c>
      <c r="S190" s="128">
        <f t="shared" si="89"/>
        <v>0</v>
      </c>
      <c r="T190" s="128">
        <f>SUM(AR190,BK190,CD190,CW190,DP190,EI190,FB190)</f>
        <v>0</v>
      </c>
      <c r="U190" s="128">
        <f t="shared" si="90"/>
        <v>0</v>
      </c>
      <c r="V190" s="128">
        <f t="shared" si="90"/>
        <v>0</v>
      </c>
      <c r="W190" s="128">
        <f>SIS064_F_Kitospastovios3Elektrosenergi5</f>
        <v>0</v>
      </c>
      <c r="X190" s="128">
        <f>SUM(SIS062_F_Kitospastovios3Geriamojovande1,SIS063_F_Kitospastovios3Geriamojovande1,SIS065_F_Kitospastovios3Geriamojovande1)</f>
        <v>0</v>
      </c>
      <c r="Y190" s="128">
        <f>SUM(SIS062_F_Kitospastovios3Paslaugaproduk8,SIS063_F_Kitospastovios3Paslaugaproduk8,SIS065_F_Kitospastovios3Paslaugaproduk8)</f>
        <v>0</v>
      </c>
      <c r="Z190" s="128">
        <f>SIS064_F_Kitospastovios3Elektrosenergi6</f>
        <v>0</v>
      </c>
      <c r="AA190" s="84">
        <f>SUM(SIS062_F_Kitospastovios3Konkurencinesi1,SIS063_F_Kitospastovios3Konkurencinesi1,SIS065_F_Kitospastovios3Konkurencinesi1,)</f>
        <v>0</v>
      </c>
      <c r="AB190" s="128">
        <f>SUM(SIS062_F_Kitospastovios3Paslaugaproduk9,SIS063_F_Kitospastovios3Paslaugaproduk9,SIS065_F_Kitospastovios3Paslaugaproduk9)</f>
        <v>0</v>
      </c>
      <c r="AC190" s="85">
        <v>0</v>
      </c>
      <c r="AD190" s="86">
        <v>0</v>
      </c>
      <c r="AE190" s="86">
        <v>0</v>
      </c>
      <c r="AF190" s="86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8">
        <v>0</v>
      </c>
      <c r="AV190" s="85">
        <v>0</v>
      </c>
      <c r="AW190" s="86">
        <v>0</v>
      </c>
      <c r="AX190" s="86">
        <v>0</v>
      </c>
      <c r="AY190" s="86">
        <v>0</v>
      </c>
      <c r="AZ190" s="87"/>
      <c r="BA190" s="87"/>
      <c r="BB190" s="87"/>
      <c r="BC190" s="87"/>
      <c r="BD190" s="87"/>
      <c r="BE190" s="87"/>
      <c r="BF190" s="87"/>
      <c r="BG190" s="87"/>
      <c r="BH190" s="87"/>
      <c r="BI190" s="87"/>
      <c r="BJ190" s="87"/>
      <c r="BK190" s="87"/>
      <c r="BL190" s="87"/>
      <c r="BM190" s="87"/>
      <c r="BN190" s="88"/>
      <c r="BO190" s="85"/>
      <c r="BP190" s="86"/>
      <c r="BQ190" s="86"/>
      <c r="BR190" s="86"/>
      <c r="BS190" s="87"/>
      <c r="BT190" s="87"/>
      <c r="BU190" s="87"/>
      <c r="BV190" s="87"/>
      <c r="BW190" s="87"/>
      <c r="BX190" s="87"/>
      <c r="BY190" s="87"/>
      <c r="BZ190" s="87"/>
      <c r="CA190" s="87"/>
      <c r="CB190" s="87"/>
      <c r="CC190" s="87"/>
      <c r="CD190" s="87"/>
      <c r="CE190" s="87"/>
      <c r="CF190" s="87"/>
      <c r="CG190" s="88"/>
      <c r="CH190" s="85"/>
      <c r="CI190" s="86"/>
      <c r="CJ190" s="86"/>
      <c r="CK190" s="86"/>
      <c r="CL190" s="87"/>
      <c r="CM190" s="87"/>
      <c r="CN190" s="87"/>
      <c r="CO190" s="87"/>
      <c r="CP190" s="87"/>
      <c r="CQ190" s="87"/>
      <c r="CR190" s="87"/>
      <c r="CS190" s="87"/>
      <c r="CT190" s="87"/>
      <c r="CU190" s="87"/>
      <c r="CV190" s="87"/>
      <c r="CW190" s="87"/>
      <c r="CX190" s="87"/>
      <c r="CY190" s="87"/>
      <c r="CZ190" s="88"/>
      <c r="DA190" s="85"/>
      <c r="DB190" s="86"/>
      <c r="DC190" s="86"/>
      <c r="DD190" s="86"/>
      <c r="DE190" s="87"/>
      <c r="DF190" s="87"/>
      <c r="DG190" s="87"/>
      <c r="DH190" s="87"/>
      <c r="DI190" s="87"/>
      <c r="DJ190" s="87"/>
      <c r="DK190" s="87"/>
      <c r="DL190" s="87"/>
      <c r="DM190" s="87"/>
      <c r="DN190" s="87"/>
      <c r="DO190" s="87"/>
      <c r="DP190" s="87"/>
      <c r="DQ190" s="87"/>
      <c r="DR190" s="87"/>
      <c r="DS190" s="88"/>
      <c r="DT190" s="85"/>
      <c r="DU190" s="86"/>
      <c r="DV190" s="86"/>
      <c r="DW190" s="86"/>
      <c r="DX190" s="87"/>
      <c r="DY190" s="87"/>
      <c r="DZ190" s="87"/>
      <c r="EA190" s="87"/>
      <c r="EB190" s="87"/>
      <c r="EC190" s="87"/>
      <c r="ED190" s="87"/>
      <c r="EE190" s="87"/>
      <c r="EF190" s="87"/>
      <c r="EG190" s="87"/>
      <c r="EH190" s="87"/>
      <c r="EI190" s="87"/>
      <c r="EJ190" s="87"/>
      <c r="EK190" s="87"/>
      <c r="EL190" s="88"/>
      <c r="EM190" s="85"/>
      <c r="EN190" s="86"/>
      <c r="EO190" s="86"/>
      <c r="EP190" s="86"/>
      <c r="EQ190" s="87"/>
      <c r="ER190" s="87"/>
      <c r="ES190" s="87"/>
      <c r="ET190" s="87"/>
      <c r="EU190" s="87"/>
      <c r="EV190" s="87"/>
      <c r="EW190" s="87"/>
      <c r="EX190" s="87"/>
      <c r="EY190" s="87"/>
      <c r="EZ190" s="87"/>
      <c r="FA190" s="87"/>
      <c r="FB190" s="87"/>
      <c r="FC190" s="87"/>
      <c r="FD190" s="87"/>
      <c r="FE190" s="89"/>
    </row>
    <row r="191" spans="2:161" s="6" customFormat="1" ht="13.8" thickBot="1">
      <c r="B191" s="129" t="s">
        <v>345</v>
      </c>
      <c r="C191" s="130"/>
      <c r="D191" s="131">
        <f t="shared" ref="D191:BO191" si="91">SUM(D18,D25,D45,D49,D53,D57,D65,D93,D120,D133,D141,D147,D160,D171,D174)</f>
        <v>2572395.8199999998</v>
      </c>
      <c r="E191" s="132">
        <f t="shared" si="91"/>
        <v>1953583.9845366674</v>
      </c>
      <c r="F191" s="132">
        <f t="shared" si="91"/>
        <v>0</v>
      </c>
      <c r="G191" s="132">
        <f t="shared" si="91"/>
        <v>0</v>
      </c>
      <c r="H191" s="132">
        <f t="shared" si="91"/>
        <v>0</v>
      </c>
      <c r="I191" s="133">
        <f t="shared" si="91"/>
        <v>0</v>
      </c>
      <c r="J191" s="133">
        <f t="shared" si="91"/>
        <v>300242.79434345081</v>
      </c>
      <c r="K191" s="133">
        <f t="shared" si="91"/>
        <v>0</v>
      </c>
      <c r="L191" s="133">
        <f t="shared" si="91"/>
        <v>0</v>
      </c>
      <c r="M191" s="133">
        <f t="shared" si="91"/>
        <v>41686.407020647603</v>
      </c>
      <c r="N191" s="133">
        <f t="shared" si="91"/>
        <v>107895.68691822543</v>
      </c>
      <c r="O191" s="133">
        <f t="shared" si="91"/>
        <v>0</v>
      </c>
      <c r="P191" s="133">
        <f t="shared" si="91"/>
        <v>28428.69222703388</v>
      </c>
      <c r="Q191" s="133">
        <f t="shared" si="91"/>
        <v>0</v>
      </c>
      <c r="R191" s="133">
        <f t="shared" si="91"/>
        <v>0</v>
      </c>
      <c r="S191" s="133">
        <f t="shared" si="91"/>
        <v>130907.6000565037</v>
      </c>
      <c r="T191" s="133">
        <f t="shared" si="91"/>
        <v>0</v>
      </c>
      <c r="U191" s="133">
        <f t="shared" si="91"/>
        <v>0</v>
      </c>
      <c r="V191" s="133">
        <f t="shared" si="91"/>
        <v>0</v>
      </c>
      <c r="W191" s="133">
        <f t="shared" si="91"/>
        <v>0</v>
      </c>
      <c r="X191" s="133">
        <f t="shared" si="91"/>
        <v>0</v>
      </c>
      <c r="Y191" s="133">
        <f t="shared" si="91"/>
        <v>0</v>
      </c>
      <c r="Z191" s="133">
        <f t="shared" si="91"/>
        <v>0</v>
      </c>
      <c r="AA191" s="133">
        <f t="shared" si="91"/>
        <v>0</v>
      </c>
      <c r="AB191" s="133">
        <f t="shared" si="91"/>
        <v>9650.6548974713005</v>
      </c>
      <c r="AC191" s="134">
        <f t="shared" si="91"/>
        <v>1953583.9845366674</v>
      </c>
      <c r="AD191" s="135">
        <f t="shared" si="91"/>
        <v>0</v>
      </c>
      <c r="AE191" s="135">
        <f t="shared" si="91"/>
        <v>0</v>
      </c>
      <c r="AF191" s="135">
        <f t="shared" si="91"/>
        <v>0</v>
      </c>
      <c r="AG191" s="136">
        <f t="shared" si="91"/>
        <v>0</v>
      </c>
      <c r="AH191" s="136">
        <f t="shared" si="91"/>
        <v>300242.79434345081</v>
      </c>
      <c r="AI191" s="136">
        <f t="shared" si="91"/>
        <v>0</v>
      </c>
      <c r="AJ191" s="136">
        <f t="shared" si="91"/>
        <v>0</v>
      </c>
      <c r="AK191" s="136">
        <f t="shared" si="91"/>
        <v>41686.407020647603</v>
      </c>
      <c r="AL191" s="136">
        <f t="shared" si="91"/>
        <v>107895.68691822543</v>
      </c>
      <c r="AM191" s="136">
        <f t="shared" si="91"/>
        <v>0</v>
      </c>
      <c r="AN191" s="136">
        <f t="shared" si="91"/>
        <v>28428.69222703388</v>
      </c>
      <c r="AO191" s="136">
        <f t="shared" si="91"/>
        <v>0</v>
      </c>
      <c r="AP191" s="136">
        <f t="shared" si="91"/>
        <v>0</v>
      </c>
      <c r="AQ191" s="136">
        <f t="shared" si="91"/>
        <v>130907.6000565037</v>
      </c>
      <c r="AR191" s="136">
        <f t="shared" si="91"/>
        <v>0</v>
      </c>
      <c r="AS191" s="136">
        <f t="shared" si="91"/>
        <v>0</v>
      </c>
      <c r="AT191" s="136">
        <f t="shared" si="91"/>
        <v>0</v>
      </c>
      <c r="AU191" s="133">
        <f t="shared" si="91"/>
        <v>0</v>
      </c>
      <c r="AV191" s="134">
        <f t="shared" si="91"/>
        <v>0</v>
      </c>
      <c r="AW191" s="135">
        <f t="shared" si="91"/>
        <v>0</v>
      </c>
      <c r="AX191" s="135">
        <f t="shared" si="91"/>
        <v>0</v>
      </c>
      <c r="AY191" s="135">
        <f t="shared" si="91"/>
        <v>0</v>
      </c>
      <c r="AZ191" s="136">
        <f t="shared" si="91"/>
        <v>0</v>
      </c>
      <c r="BA191" s="136">
        <f t="shared" si="91"/>
        <v>0</v>
      </c>
      <c r="BB191" s="136">
        <f t="shared" si="91"/>
        <v>0</v>
      </c>
      <c r="BC191" s="136">
        <f t="shared" si="91"/>
        <v>0</v>
      </c>
      <c r="BD191" s="136">
        <f t="shared" si="91"/>
        <v>0</v>
      </c>
      <c r="BE191" s="136">
        <f t="shared" si="91"/>
        <v>0</v>
      </c>
      <c r="BF191" s="136">
        <f t="shared" si="91"/>
        <v>0</v>
      </c>
      <c r="BG191" s="136">
        <f t="shared" si="91"/>
        <v>0</v>
      </c>
      <c r="BH191" s="136">
        <f t="shared" si="91"/>
        <v>0</v>
      </c>
      <c r="BI191" s="136">
        <f t="shared" si="91"/>
        <v>0</v>
      </c>
      <c r="BJ191" s="136">
        <f t="shared" si="91"/>
        <v>0</v>
      </c>
      <c r="BK191" s="136">
        <f t="shared" si="91"/>
        <v>0</v>
      </c>
      <c r="BL191" s="136">
        <f t="shared" si="91"/>
        <v>0</v>
      </c>
      <c r="BM191" s="136">
        <f t="shared" si="91"/>
        <v>0</v>
      </c>
      <c r="BN191" s="133">
        <f t="shared" si="91"/>
        <v>0</v>
      </c>
      <c r="BO191" s="134">
        <f t="shared" si="91"/>
        <v>0</v>
      </c>
      <c r="BP191" s="135">
        <f t="shared" ref="BP191:EA191" si="92">SUM(BP18,BP25,BP45,BP49,BP53,BP57,BP65,BP93,BP120,BP133,BP141,BP147,BP160,BP171,BP174)</f>
        <v>0</v>
      </c>
      <c r="BQ191" s="135">
        <f t="shared" si="92"/>
        <v>0</v>
      </c>
      <c r="BR191" s="135">
        <f t="shared" si="92"/>
        <v>0</v>
      </c>
      <c r="BS191" s="136">
        <f t="shared" si="92"/>
        <v>0</v>
      </c>
      <c r="BT191" s="136">
        <f t="shared" si="92"/>
        <v>0</v>
      </c>
      <c r="BU191" s="136">
        <f t="shared" si="92"/>
        <v>0</v>
      </c>
      <c r="BV191" s="136">
        <f t="shared" si="92"/>
        <v>0</v>
      </c>
      <c r="BW191" s="136">
        <f t="shared" si="92"/>
        <v>0</v>
      </c>
      <c r="BX191" s="136">
        <f t="shared" si="92"/>
        <v>0</v>
      </c>
      <c r="BY191" s="136">
        <f t="shared" si="92"/>
        <v>0</v>
      </c>
      <c r="BZ191" s="136">
        <f t="shared" si="92"/>
        <v>0</v>
      </c>
      <c r="CA191" s="136">
        <f t="shared" si="92"/>
        <v>0</v>
      </c>
      <c r="CB191" s="136">
        <f t="shared" si="92"/>
        <v>0</v>
      </c>
      <c r="CC191" s="136">
        <f t="shared" si="92"/>
        <v>0</v>
      </c>
      <c r="CD191" s="136">
        <f t="shared" si="92"/>
        <v>0</v>
      </c>
      <c r="CE191" s="136">
        <f t="shared" si="92"/>
        <v>0</v>
      </c>
      <c r="CF191" s="136">
        <f t="shared" si="92"/>
        <v>0</v>
      </c>
      <c r="CG191" s="133">
        <f t="shared" si="92"/>
        <v>0</v>
      </c>
      <c r="CH191" s="134">
        <f t="shared" si="92"/>
        <v>0</v>
      </c>
      <c r="CI191" s="135">
        <f t="shared" si="92"/>
        <v>0</v>
      </c>
      <c r="CJ191" s="135">
        <f t="shared" si="92"/>
        <v>0</v>
      </c>
      <c r="CK191" s="135">
        <f t="shared" si="92"/>
        <v>0</v>
      </c>
      <c r="CL191" s="136">
        <f t="shared" si="92"/>
        <v>0</v>
      </c>
      <c r="CM191" s="136">
        <f t="shared" si="92"/>
        <v>0</v>
      </c>
      <c r="CN191" s="136">
        <f t="shared" si="92"/>
        <v>0</v>
      </c>
      <c r="CO191" s="136">
        <f t="shared" si="92"/>
        <v>0</v>
      </c>
      <c r="CP191" s="136">
        <f t="shared" si="92"/>
        <v>0</v>
      </c>
      <c r="CQ191" s="136">
        <f t="shared" si="92"/>
        <v>0</v>
      </c>
      <c r="CR191" s="136">
        <f t="shared" si="92"/>
        <v>0</v>
      </c>
      <c r="CS191" s="136">
        <f t="shared" si="92"/>
        <v>0</v>
      </c>
      <c r="CT191" s="136">
        <f t="shared" si="92"/>
        <v>0</v>
      </c>
      <c r="CU191" s="136">
        <f t="shared" si="92"/>
        <v>0</v>
      </c>
      <c r="CV191" s="136">
        <f t="shared" si="92"/>
        <v>0</v>
      </c>
      <c r="CW191" s="136">
        <f t="shared" si="92"/>
        <v>0</v>
      </c>
      <c r="CX191" s="136">
        <f t="shared" si="92"/>
        <v>0</v>
      </c>
      <c r="CY191" s="136">
        <f t="shared" si="92"/>
        <v>0</v>
      </c>
      <c r="CZ191" s="133">
        <f t="shared" si="92"/>
        <v>0</v>
      </c>
      <c r="DA191" s="134">
        <f t="shared" si="92"/>
        <v>0</v>
      </c>
      <c r="DB191" s="135">
        <f t="shared" si="92"/>
        <v>0</v>
      </c>
      <c r="DC191" s="135">
        <f t="shared" si="92"/>
        <v>0</v>
      </c>
      <c r="DD191" s="135">
        <f t="shared" si="92"/>
        <v>0</v>
      </c>
      <c r="DE191" s="136">
        <f t="shared" si="92"/>
        <v>0</v>
      </c>
      <c r="DF191" s="136">
        <f t="shared" si="92"/>
        <v>0</v>
      </c>
      <c r="DG191" s="136">
        <f t="shared" si="92"/>
        <v>0</v>
      </c>
      <c r="DH191" s="136">
        <f t="shared" si="92"/>
        <v>0</v>
      </c>
      <c r="DI191" s="136">
        <f t="shared" si="92"/>
        <v>0</v>
      </c>
      <c r="DJ191" s="136">
        <f t="shared" si="92"/>
        <v>0</v>
      </c>
      <c r="DK191" s="136">
        <f t="shared" si="92"/>
        <v>0</v>
      </c>
      <c r="DL191" s="136">
        <f t="shared" si="92"/>
        <v>0</v>
      </c>
      <c r="DM191" s="136">
        <f t="shared" si="92"/>
        <v>0</v>
      </c>
      <c r="DN191" s="136">
        <f t="shared" si="92"/>
        <v>0</v>
      </c>
      <c r="DO191" s="136">
        <f t="shared" si="92"/>
        <v>0</v>
      </c>
      <c r="DP191" s="136">
        <f t="shared" si="92"/>
        <v>0</v>
      </c>
      <c r="DQ191" s="136">
        <f t="shared" si="92"/>
        <v>0</v>
      </c>
      <c r="DR191" s="136">
        <f t="shared" si="92"/>
        <v>0</v>
      </c>
      <c r="DS191" s="133">
        <f t="shared" si="92"/>
        <v>0</v>
      </c>
      <c r="DT191" s="134">
        <f t="shared" si="92"/>
        <v>0</v>
      </c>
      <c r="DU191" s="135">
        <f t="shared" si="92"/>
        <v>0</v>
      </c>
      <c r="DV191" s="135">
        <f t="shared" si="92"/>
        <v>0</v>
      </c>
      <c r="DW191" s="135">
        <f t="shared" si="92"/>
        <v>0</v>
      </c>
      <c r="DX191" s="136">
        <f t="shared" si="92"/>
        <v>0</v>
      </c>
      <c r="DY191" s="136">
        <f t="shared" si="92"/>
        <v>0</v>
      </c>
      <c r="DZ191" s="136">
        <f t="shared" si="92"/>
        <v>0</v>
      </c>
      <c r="EA191" s="136">
        <f t="shared" si="92"/>
        <v>0</v>
      </c>
      <c r="EB191" s="136">
        <f t="shared" ref="EB191:FE191" si="93">SUM(EB18,EB25,EB45,EB49,EB53,EB57,EB65,EB93,EB120,EB133,EB141,EB147,EB160,EB171,EB174)</f>
        <v>0</v>
      </c>
      <c r="EC191" s="136">
        <f t="shared" si="93"/>
        <v>0</v>
      </c>
      <c r="ED191" s="136">
        <f t="shared" si="93"/>
        <v>0</v>
      </c>
      <c r="EE191" s="136">
        <f t="shared" si="93"/>
        <v>0</v>
      </c>
      <c r="EF191" s="136">
        <f t="shared" si="93"/>
        <v>0</v>
      </c>
      <c r="EG191" s="136">
        <f t="shared" si="93"/>
        <v>0</v>
      </c>
      <c r="EH191" s="136">
        <f t="shared" si="93"/>
        <v>0</v>
      </c>
      <c r="EI191" s="136">
        <f t="shared" si="93"/>
        <v>0</v>
      </c>
      <c r="EJ191" s="136">
        <f t="shared" si="93"/>
        <v>0</v>
      </c>
      <c r="EK191" s="136">
        <f t="shared" si="93"/>
        <v>0</v>
      </c>
      <c r="EL191" s="133">
        <f t="shared" si="93"/>
        <v>0</v>
      </c>
      <c r="EM191" s="134">
        <f t="shared" si="93"/>
        <v>0</v>
      </c>
      <c r="EN191" s="135">
        <f t="shared" si="93"/>
        <v>0</v>
      </c>
      <c r="EO191" s="135">
        <f t="shared" si="93"/>
        <v>0</v>
      </c>
      <c r="EP191" s="135">
        <f t="shared" si="93"/>
        <v>0</v>
      </c>
      <c r="EQ191" s="136">
        <f t="shared" si="93"/>
        <v>0</v>
      </c>
      <c r="ER191" s="136">
        <f t="shared" si="93"/>
        <v>0</v>
      </c>
      <c r="ES191" s="136">
        <f t="shared" si="93"/>
        <v>0</v>
      </c>
      <c r="ET191" s="136">
        <f t="shared" si="93"/>
        <v>0</v>
      </c>
      <c r="EU191" s="136">
        <f t="shared" si="93"/>
        <v>0</v>
      </c>
      <c r="EV191" s="136">
        <f t="shared" si="93"/>
        <v>0</v>
      </c>
      <c r="EW191" s="136">
        <f t="shared" si="93"/>
        <v>0</v>
      </c>
      <c r="EX191" s="136">
        <f t="shared" si="93"/>
        <v>0</v>
      </c>
      <c r="EY191" s="136">
        <f t="shared" si="93"/>
        <v>0</v>
      </c>
      <c r="EZ191" s="136">
        <f t="shared" si="93"/>
        <v>0</v>
      </c>
      <c r="FA191" s="136">
        <f t="shared" si="93"/>
        <v>0</v>
      </c>
      <c r="FB191" s="136">
        <f t="shared" si="93"/>
        <v>0</v>
      </c>
      <c r="FC191" s="136">
        <f t="shared" si="93"/>
        <v>0</v>
      </c>
      <c r="FD191" s="136">
        <f t="shared" si="93"/>
        <v>0</v>
      </c>
      <c r="FE191" s="137">
        <f t="shared" si="93"/>
        <v>0</v>
      </c>
    </row>
    <row r="193" spans="2:3">
      <c r="B193" s="138" t="s">
        <v>346</v>
      </c>
      <c r="C193" s="138"/>
    </row>
    <row r="194" spans="2:3">
      <c r="B194" s="140" t="s">
        <v>347</v>
      </c>
      <c r="C194" s="140"/>
    </row>
    <row r="195" spans="2:3">
      <c r="B195" s="140" t="s">
        <v>348</v>
      </c>
      <c r="C195" s="140"/>
    </row>
  </sheetData>
  <mergeCells count="254">
    <mergeCell ref="B191:C191"/>
    <mergeCell ref="B193:C193"/>
    <mergeCell ref="B194:C194"/>
    <mergeCell ref="B195:C195"/>
    <mergeCell ref="FD13:FD17"/>
    <mergeCell ref="FE13:FE17"/>
    <mergeCell ref="E15:E17"/>
    <mergeCell ref="F15:F17"/>
    <mergeCell ref="G15:G17"/>
    <mergeCell ref="H15:H17"/>
    <mergeCell ref="AC15:AC17"/>
    <mergeCell ref="AD15:AD17"/>
    <mergeCell ref="AE15:AE17"/>
    <mergeCell ref="AF15:AF17"/>
    <mergeCell ref="EX13:EX17"/>
    <mergeCell ref="EY13:EY17"/>
    <mergeCell ref="EZ13:EZ17"/>
    <mergeCell ref="FA13:FA17"/>
    <mergeCell ref="FB13:FB17"/>
    <mergeCell ref="FC13:FC17"/>
    <mergeCell ref="ER13:ER17"/>
    <mergeCell ref="ES13:ES17"/>
    <mergeCell ref="ET13:ET17"/>
    <mergeCell ref="EU13:EU17"/>
    <mergeCell ref="EV13:EV17"/>
    <mergeCell ref="EW13:EW17"/>
    <mergeCell ref="EJ13:EJ17"/>
    <mergeCell ref="EK13:EK17"/>
    <mergeCell ref="EL13:EL17"/>
    <mergeCell ref="EM13:EN14"/>
    <mergeCell ref="EO13:EP14"/>
    <mergeCell ref="EQ13:EQ17"/>
    <mergeCell ref="EM15:EM17"/>
    <mergeCell ref="EN15:EN17"/>
    <mergeCell ref="EO15:EO17"/>
    <mergeCell ref="EP15:EP17"/>
    <mergeCell ref="ED13:ED17"/>
    <mergeCell ref="EE13:EE17"/>
    <mergeCell ref="EF13:EF17"/>
    <mergeCell ref="EG13:EG17"/>
    <mergeCell ref="EH13:EH17"/>
    <mergeCell ref="EI13:EI17"/>
    <mergeCell ref="DX13:DX17"/>
    <mergeCell ref="DY13:DY17"/>
    <mergeCell ref="DZ13:DZ17"/>
    <mergeCell ref="EA13:EA17"/>
    <mergeCell ref="EB13:EB17"/>
    <mergeCell ref="EC13:EC17"/>
    <mergeCell ref="DP13:DP17"/>
    <mergeCell ref="DQ13:DQ17"/>
    <mergeCell ref="DR13:DR17"/>
    <mergeCell ref="DS13:DS17"/>
    <mergeCell ref="DT13:DU14"/>
    <mergeCell ref="DV13:DW14"/>
    <mergeCell ref="DT15:DT17"/>
    <mergeCell ref="DU15:DU17"/>
    <mergeCell ref="DV15:DV17"/>
    <mergeCell ref="DW15:DW17"/>
    <mergeCell ref="DJ13:DJ17"/>
    <mergeCell ref="DK13:DK17"/>
    <mergeCell ref="DL13:DL17"/>
    <mergeCell ref="DM13:DM17"/>
    <mergeCell ref="DN13:DN17"/>
    <mergeCell ref="DO13:DO17"/>
    <mergeCell ref="DC13:DD14"/>
    <mergeCell ref="DE13:DE17"/>
    <mergeCell ref="DF13:DF17"/>
    <mergeCell ref="DG13:DG17"/>
    <mergeCell ref="DH13:DH17"/>
    <mergeCell ref="DI13:DI17"/>
    <mergeCell ref="DC15:DC17"/>
    <mergeCell ref="DD15:DD17"/>
    <mergeCell ref="CV13:CV17"/>
    <mergeCell ref="CW13:CW17"/>
    <mergeCell ref="CX13:CX17"/>
    <mergeCell ref="CY13:CY17"/>
    <mergeCell ref="CZ13:CZ17"/>
    <mergeCell ref="DA13:DB14"/>
    <mergeCell ref="DA15:DA17"/>
    <mergeCell ref="DB15:DB17"/>
    <mergeCell ref="CP13:CP17"/>
    <mergeCell ref="CQ13:CQ17"/>
    <mergeCell ref="CR13:CR17"/>
    <mergeCell ref="CS13:CS17"/>
    <mergeCell ref="CT13:CT17"/>
    <mergeCell ref="CU13:CU17"/>
    <mergeCell ref="CH13:CI14"/>
    <mergeCell ref="CJ13:CK14"/>
    <mergeCell ref="CL13:CL17"/>
    <mergeCell ref="CM13:CM17"/>
    <mergeCell ref="CN13:CN17"/>
    <mergeCell ref="CO13:CO17"/>
    <mergeCell ref="CH15:CH17"/>
    <mergeCell ref="CI15:CI17"/>
    <mergeCell ref="CJ15:CJ17"/>
    <mergeCell ref="CK15:CK17"/>
    <mergeCell ref="CB13:CB17"/>
    <mergeCell ref="CC13:CC17"/>
    <mergeCell ref="CD13:CD17"/>
    <mergeCell ref="CE13:CE17"/>
    <mergeCell ref="CF13:CF17"/>
    <mergeCell ref="CG13:CG17"/>
    <mergeCell ref="BV13:BV17"/>
    <mergeCell ref="BW13:BW17"/>
    <mergeCell ref="BX13:BX17"/>
    <mergeCell ref="BY13:BY17"/>
    <mergeCell ref="BZ13:BZ17"/>
    <mergeCell ref="CA13:CA17"/>
    <mergeCell ref="BN13:BN17"/>
    <mergeCell ref="BO13:BP14"/>
    <mergeCell ref="BQ13:BR14"/>
    <mergeCell ref="BS13:BS17"/>
    <mergeCell ref="BT13:BT17"/>
    <mergeCell ref="BU13:BU17"/>
    <mergeCell ref="BO15:BO17"/>
    <mergeCell ref="BP15:BP17"/>
    <mergeCell ref="BQ15:BQ17"/>
    <mergeCell ref="BR15:BR17"/>
    <mergeCell ref="BH13:BH17"/>
    <mergeCell ref="BI13:BI17"/>
    <mergeCell ref="BJ13:BJ17"/>
    <mergeCell ref="BK13:BK17"/>
    <mergeCell ref="BL13:BL17"/>
    <mergeCell ref="BM13:BM17"/>
    <mergeCell ref="BB13:BB17"/>
    <mergeCell ref="BC13:BC17"/>
    <mergeCell ref="BD13:BD17"/>
    <mergeCell ref="BE13:BE17"/>
    <mergeCell ref="BF13:BF17"/>
    <mergeCell ref="BG13:BG17"/>
    <mergeCell ref="AT13:AT17"/>
    <mergeCell ref="AU13:AU17"/>
    <mergeCell ref="AV13:AW14"/>
    <mergeCell ref="AX13:AY14"/>
    <mergeCell ref="AZ13:AZ17"/>
    <mergeCell ref="BA13:BA17"/>
    <mergeCell ref="AV15:AV17"/>
    <mergeCell ref="AW15:AW17"/>
    <mergeCell ref="AX15:AX17"/>
    <mergeCell ref="AY15:AY17"/>
    <mergeCell ref="AN13:AN17"/>
    <mergeCell ref="AO13:AO17"/>
    <mergeCell ref="AP13:AP17"/>
    <mergeCell ref="AQ13:AQ17"/>
    <mergeCell ref="AR13:AR17"/>
    <mergeCell ref="AS13:AS17"/>
    <mergeCell ref="AH13:AH17"/>
    <mergeCell ref="AI13:AI17"/>
    <mergeCell ref="AJ13:AJ17"/>
    <mergeCell ref="AK13:AK17"/>
    <mergeCell ref="AL13:AL17"/>
    <mergeCell ref="AM13:AM17"/>
    <mergeCell ref="Z13:Z17"/>
    <mergeCell ref="AA13:AA17"/>
    <mergeCell ref="AB13:AB17"/>
    <mergeCell ref="AC13:AD14"/>
    <mergeCell ref="AE13:AF14"/>
    <mergeCell ref="AG13:AG17"/>
    <mergeCell ref="T13:T17"/>
    <mergeCell ref="U13:U17"/>
    <mergeCell ref="V13:V17"/>
    <mergeCell ref="W13:W17"/>
    <mergeCell ref="X13:X17"/>
    <mergeCell ref="Y13:Y17"/>
    <mergeCell ref="N13:N17"/>
    <mergeCell ref="O13:O17"/>
    <mergeCell ref="P13:P17"/>
    <mergeCell ref="Q13:Q17"/>
    <mergeCell ref="R13:R17"/>
    <mergeCell ref="S13:S17"/>
    <mergeCell ref="FA10:FC12"/>
    <mergeCell ref="FD10:FD12"/>
    <mergeCell ref="FE10:FE12"/>
    <mergeCell ref="E13:F14"/>
    <mergeCell ref="G13:H14"/>
    <mergeCell ref="I13:I17"/>
    <mergeCell ref="J13:J17"/>
    <mergeCell ref="K13:K17"/>
    <mergeCell ref="L13:L17"/>
    <mergeCell ref="M13:M17"/>
    <mergeCell ref="EL10:EL12"/>
    <mergeCell ref="EM10:EQ12"/>
    <mergeCell ref="ER10:ET12"/>
    <mergeCell ref="EU10:EU12"/>
    <mergeCell ref="EV10:EY12"/>
    <mergeCell ref="EZ10:EZ12"/>
    <mergeCell ref="DY10:EA12"/>
    <mergeCell ref="EB10:EB12"/>
    <mergeCell ref="EC10:EF12"/>
    <mergeCell ref="EG10:EG12"/>
    <mergeCell ref="EH10:EJ12"/>
    <mergeCell ref="EK10:EK12"/>
    <mergeCell ref="DJ10:DM12"/>
    <mergeCell ref="DN10:DN12"/>
    <mergeCell ref="DO10:DQ12"/>
    <mergeCell ref="DR10:DR12"/>
    <mergeCell ref="DS10:DS12"/>
    <mergeCell ref="DT10:DX12"/>
    <mergeCell ref="CV10:CX12"/>
    <mergeCell ref="CY10:CY12"/>
    <mergeCell ref="CZ10:CZ12"/>
    <mergeCell ref="DA10:DE12"/>
    <mergeCell ref="DF10:DH12"/>
    <mergeCell ref="DI10:DI12"/>
    <mergeCell ref="CG10:CG12"/>
    <mergeCell ref="CH10:CL12"/>
    <mergeCell ref="CM10:CO12"/>
    <mergeCell ref="CP10:CP12"/>
    <mergeCell ref="CQ10:CT12"/>
    <mergeCell ref="CU10:CU12"/>
    <mergeCell ref="BT10:BV12"/>
    <mergeCell ref="BW10:BW12"/>
    <mergeCell ref="BX10:CA12"/>
    <mergeCell ref="CB10:CB12"/>
    <mergeCell ref="CC10:CE12"/>
    <mergeCell ref="CF10:CF12"/>
    <mergeCell ref="BE10:BH12"/>
    <mergeCell ref="BI10:BI12"/>
    <mergeCell ref="BJ10:BL12"/>
    <mergeCell ref="BM10:BM12"/>
    <mergeCell ref="BN10:BN12"/>
    <mergeCell ref="BO10:BS12"/>
    <mergeCell ref="AQ10:AS12"/>
    <mergeCell ref="AT10:AT12"/>
    <mergeCell ref="AU10:AU12"/>
    <mergeCell ref="AV10:AZ12"/>
    <mergeCell ref="BA10:BC12"/>
    <mergeCell ref="BD10:BD12"/>
    <mergeCell ref="Z10:AB12"/>
    <mergeCell ref="AC10:AG12"/>
    <mergeCell ref="AH10:AJ12"/>
    <mergeCell ref="AK10:AK12"/>
    <mergeCell ref="AL10:AO12"/>
    <mergeCell ref="AP10:AP12"/>
    <mergeCell ref="DT9:EL9"/>
    <mergeCell ref="EM9:FE9"/>
    <mergeCell ref="E10:I12"/>
    <mergeCell ref="J10:L12"/>
    <mergeCell ref="M10:M12"/>
    <mergeCell ref="N10:Q12"/>
    <mergeCell ref="R10:R12"/>
    <mergeCell ref="S10:U12"/>
    <mergeCell ref="V10:V12"/>
    <mergeCell ref="W10:Y12"/>
    <mergeCell ref="B7:V7"/>
    <mergeCell ref="EW8:FD8"/>
    <mergeCell ref="B9:C17"/>
    <mergeCell ref="D9:D17"/>
    <mergeCell ref="E9:AB9"/>
    <mergeCell ref="AC9:AU9"/>
    <mergeCell ref="AV9:BN9"/>
    <mergeCell ref="BO9:CG9"/>
    <mergeCell ref="CH9:CZ9"/>
    <mergeCell ref="DA9:DS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Pumputienė</dc:creator>
  <cp:lastModifiedBy>Elena Pumputienė</cp:lastModifiedBy>
  <dcterms:created xsi:type="dcterms:W3CDTF">2026-08-31T08:02:47Z</dcterms:created>
  <dcterms:modified xsi:type="dcterms:W3CDTF">2026-08-31T08:06:50Z</dcterms:modified>
</cp:coreProperties>
</file>